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5255" windowHeight="8160"/>
  </bookViews>
  <sheets>
    <sheet name="INPUT DATA" sheetId="12" r:id="rId1"/>
    <sheet name="OUTPUT" sheetId="18" r:id="rId2"/>
    <sheet name="Pop_Projection" sheetId="13" r:id="rId3"/>
    <sheet name="Waste Generation_STP" sheetId="8" r:id="rId4"/>
    <sheet name="Estimate" sheetId="15" r:id="rId5"/>
  </sheets>
  <definedNames>
    <definedName name="Arthematic_Growth" localSheetId="0">'INPUT DATA'!#REF!</definedName>
  </definedNames>
  <calcPr calcId="124519"/>
</workbook>
</file>

<file path=xl/calcChain.xml><?xml version="1.0" encoding="utf-8"?>
<calcChain xmlns="http://schemas.openxmlformats.org/spreadsheetml/2006/main">
  <c r="D5" i="15"/>
  <c r="G29" i="18" s="1"/>
  <c r="E6" i="15"/>
  <c r="E8"/>
  <c r="E5"/>
  <c r="E9" i="13" l="1"/>
  <c r="F7" i="8"/>
  <c r="F8"/>
  <c r="F9"/>
  <c r="F10"/>
  <c r="F11"/>
  <c r="F12"/>
  <c r="F6"/>
  <c r="G7"/>
  <c r="G8"/>
  <c r="G9"/>
  <c r="G10"/>
  <c r="G11"/>
  <c r="G12"/>
  <c r="G6"/>
  <c r="H21"/>
  <c r="G22" i="18" s="1"/>
  <c r="H18" i="8"/>
  <c r="G19" i="18" s="1"/>
  <c r="I31" i="13"/>
  <c r="I30"/>
  <c r="I29"/>
  <c r="I28"/>
  <c r="B7" i="18"/>
  <c r="B8"/>
  <c r="B9"/>
  <c r="B10"/>
  <c r="B11"/>
  <c r="B12"/>
  <c r="B6"/>
  <c r="E7" i="15" l="1"/>
  <c r="M21" i="12" l="1"/>
  <c r="D32" i="13" l="1"/>
  <c r="E32"/>
  <c r="F32"/>
  <c r="G32"/>
  <c r="H32"/>
  <c r="C32"/>
  <c r="B5"/>
  <c r="B22" s="1"/>
  <c r="B6"/>
  <c r="B7"/>
  <c r="B8"/>
  <c r="B9"/>
  <c r="B4"/>
  <c r="A26"/>
  <c r="A25"/>
  <c r="A24"/>
  <c r="A23"/>
  <c r="A22"/>
  <c r="A21"/>
  <c r="A15"/>
  <c r="A13"/>
  <c r="A11"/>
  <c r="H28" l="1"/>
  <c r="F9"/>
  <c r="F10" s="1"/>
  <c r="F11" s="1"/>
  <c r="F12" s="1"/>
  <c r="F13" s="1"/>
  <c r="F14" s="1"/>
  <c r="F15" s="1"/>
  <c r="F16" s="1"/>
  <c r="D9"/>
  <c r="C9"/>
  <c r="C5"/>
  <c r="D5"/>
  <c r="B25"/>
  <c r="D8"/>
  <c r="C8"/>
  <c r="B23"/>
  <c r="C23" s="1"/>
  <c r="D6"/>
  <c r="C6"/>
  <c r="D7"/>
  <c r="C7"/>
  <c r="B21"/>
  <c r="B24"/>
  <c r="B26"/>
  <c r="C26" l="1"/>
  <c r="E26"/>
  <c r="C25"/>
  <c r="D26" s="1"/>
  <c r="E25"/>
  <c r="C22"/>
  <c r="E22"/>
  <c r="C24"/>
  <c r="D25" s="1"/>
  <c r="E24"/>
  <c r="E23"/>
  <c r="D23" l="1"/>
  <c r="C27"/>
  <c r="E27"/>
  <c r="E28" s="1"/>
  <c r="E29" s="1"/>
  <c r="E30" s="1"/>
  <c r="E31" s="1"/>
  <c r="D24"/>
  <c r="C28" l="1"/>
  <c r="D27"/>
  <c r="D28" s="1"/>
  <c r="B28"/>
  <c r="B10" s="1"/>
  <c r="G28" l="1"/>
  <c r="H29" s="1"/>
  <c r="E10"/>
  <c r="C29"/>
  <c r="D29"/>
  <c r="F28"/>
  <c r="C10"/>
  <c r="D10"/>
  <c r="B6" i="8"/>
  <c r="B29" i="13"/>
  <c r="B12" s="1"/>
  <c r="E12" s="1"/>
  <c r="C6" i="18" l="1"/>
  <c r="G29" i="13"/>
  <c r="H30" s="1"/>
  <c r="C30"/>
  <c r="B30" s="1"/>
  <c r="B14" s="1"/>
  <c r="D30"/>
  <c r="F29"/>
  <c r="D12"/>
  <c r="C12"/>
  <c r="C11" s="1"/>
  <c r="B8" i="8"/>
  <c r="C6"/>
  <c r="D6" s="1"/>
  <c r="E6" s="1"/>
  <c r="G30" i="13" l="1"/>
  <c r="H31" s="1"/>
  <c r="E14"/>
  <c r="C8" i="18"/>
  <c r="C31" i="13"/>
  <c r="D31"/>
  <c r="F30"/>
  <c r="C14"/>
  <c r="C13" s="1"/>
  <c r="D14"/>
  <c r="C8" i="8"/>
  <c r="D8" s="1"/>
  <c r="E8" s="1"/>
  <c r="D11" i="13"/>
  <c r="B11"/>
  <c r="E11" s="1"/>
  <c r="H6" i="8"/>
  <c r="D6" i="18" s="1"/>
  <c r="B10" i="8"/>
  <c r="C10" i="18" l="1"/>
  <c r="F31" i="13"/>
  <c r="B31"/>
  <c r="B16" s="1"/>
  <c r="C10" i="8"/>
  <c r="D10" s="1"/>
  <c r="E10" s="1"/>
  <c r="D13" i="13"/>
  <c r="B13"/>
  <c r="E13" s="1"/>
  <c r="B7" i="8"/>
  <c r="H8"/>
  <c r="D8" i="18" s="1"/>
  <c r="G5" i="15"/>
  <c r="G31" i="13" l="1"/>
  <c r="E16"/>
  <c r="C7" i="18"/>
  <c r="D16" i="13"/>
  <c r="C16"/>
  <c r="C15" s="1"/>
  <c r="B12" i="8"/>
  <c r="H10"/>
  <c r="D10" i="18" s="1"/>
  <c r="C7" i="8"/>
  <c r="D7" s="1"/>
  <c r="E7" s="1"/>
  <c r="B9"/>
  <c r="C9" i="18" l="1"/>
  <c r="C12"/>
  <c r="C12" i="8"/>
  <c r="D12" s="1"/>
  <c r="E12" s="1"/>
  <c r="D15" i="13"/>
  <c r="B15"/>
  <c r="E15" s="1"/>
  <c r="C9" i="8"/>
  <c r="D9" s="1"/>
  <c r="E9" s="1"/>
  <c r="H7"/>
  <c r="D7" i="18" s="1"/>
  <c r="B11" i="8" l="1"/>
  <c r="H12"/>
  <c r="H9"/>
  <c r="D9" i="18" s="1"/>
  <c r="H17" i="8" l="1"/>
  <c r="D12" i="18"/>
  <c r="C11"/>
  <c r="C11" i="8"/>
  <c r="D11" s="1"/>
  <c r="E11" s="1"/>
  <c r="H19" l="1"/>
  <c r="G18" i="18"/>
  <c r="G20" s="1"/>
  <c r="H11" i="8"/>
  <c r="D11" i="18" s="1"/>
  <c r="G23" l="1"/>
  <c r="G24" s="1"/>
  <c r="H20" i="8"/>
  <c r="H22"/>
  <c r="H23" l="1"/>
  <c r="H24" s="1"/>
  <c r="D7" i="15" s="1"/>
  <c r="G21" i="18"/>
  <c r="D8" i="15"/>
  <c r="G8" s="1"/>
  <c r="G7" l="1"/>
  <c r="D6"/>
  <c r="G6" s="1"/>
  <c r="G9" s="1"/>
  <c r="G10" l="1"/>
  <c r="G11"/>
  <c r="G12" s="1"/>
</calcChain>
</file>

<file path=xl/sharedStrings.xml><?xml version="1.0" encoding="utf-8"?>
<sst xmlns="http://schemas.openxmlformats.org/spreadsheetml/2006/main" count="184" uniqueCount="129">
  <si>
    <t>I</t>
  </si>
  <si>
    <t>Population</t>
  </si>
  <si>
    <t>Year</t>
  </si>
  <si>
    <t>Assumptions</t>
  </si>
  <si>
    <t>Households</t>
  </si>
  <si>
    <t>II</t>
  </si>
  <si>
    <t>Quantity</t>
  </si>
  <si>
    <t>Nos</t>
  </si>
  <si>
    <t>MLD</t>
  </si>
  <si>
    <t>KM</t>
  </si>
  <si>
    <t>Population Projections</t>
  </si>
  <si>
    <t>Market Rates</t>
  </si>
  <si>
    <t>Method/Basis</t>
  </si>
  <si>
    <t xml:space="preserve">Population Projections </t>
  </si>
  <si>
    <t>Available Projected Data</t>
  </si>
  <si>
    <t>If the above option is "Available Projected Data" enter projected population below</t>
  </si>
  <si>
    <t>If the above option is "Growth Rate based Project" enter below the Decadal Growth Rate to be used for Projection</t>
  </si>
  <si>
    <t>Decade</t>
  </si>
  <si>
    <t>2001-11</t>
  </si>
  <si>
    <t>2011-21</t>
  </si>
  <si>
    <t>2021-31</t>
  </si>
  <si>
    <t>2031-41</t>
  </si>
  <si>
    <t>Growth Rate%</t>
  </si>
  <si>
    <t>Table 1: Population Projection</t>
  </si>
  <si>
    <t>Decadal Growth Rate</t>
  </si>
  <si>
    <t>Annual Growth Rate</t>
  </si>
  <si>
    <t>HH Size</t>
  </si>
  <si>
    <t>Arithmetic Growth Method (AM)</t>
  </si>
  <si>
    <t>Incremental Increase (IM)</t>
  </si>
  <si>
    <t>Geometric Growth Method (GM)</t>
  </si>
  <si>
    <t>Average of AM_IM_GM</t>
  </si>
  <si>
    <t>Growth Rate based Projection</t>
  </si>
  <si>
    <t>Rs</t>
  </si>
  <si>
    <t>LPCD</t>
  </si>
  <si>
    <t>Total</t>
  </si>
  <si>
    <t>m</t>
  </si>
  <si>
    <t>S No</t>
  </si>
  <si>
    <t>Item</t>
  </si>
  <si>
    <t xml:space="preserve">Rate </t>
  </si>
  <si>
    <t>Amount</t>
  </si>
  <si>
    <t xml:space="preserve">Physical Contingency  </t>
  </si>
  <si>
    <t>Sub Total</t>
  </si>
  <si>
    <t>Grand Total</t>
  </si>
  <si>
    <t>III</t>
  </si>
  <si>
    <t>Design Period</t>
  </si>
  <si>
    <t>Base Year</t>
  </si>
  <si>
    <t>No. of Years: Choose from drop down</t>
  </si>
  <si>
    <t>Other contingencies</t>
  </si>
  <si>
    <t>Parameter</t>
  </si>
  <si>
    <t>Units</t>
  </si>
  <si>
    <t>Table 7: Estimate</t>
  </si>
  <si>
    <t>Table 1: Projected Population &amp; Water Demand</t>
  </si>
  <si>
    <t>Input Growth Rate</t>
  </si>
  <si>
    <t>ha</t>
  </si>
  <si>
    <t>City</t>
  </si>
  <si>
    <t>colours. Input data or review the data/result according to following color codes:</t>
  </si>
  <si>
    <t>Review the provided values &amp;</t>
  </si>
  <si>
    <t>revise/update if required</t>
  </si>
  <si>
    <t>No value to be entered</t>
  </si>
  <si>
    <t>Calculates automatically</t>
  </si>
  <si>
    <t>Input data to be provided</t>
  </si>
  <si>
    <t>User Instructions</t>
  </si>
  <si>
    <t xml:space="preserve">then it should be given in decadal growth  </t>
  </si>
  <si>
    <t xml:space="preserve">standard methods. If decadal growth is assigned for future </t>
  </si>
  <si>
    <t>No data to be entered select from drop down menu</t>
  </si>
  <si>
    <t xml:space="preserve">Template for Deign and Estimation of Sewerage System </t>
  </si>
  <si>
    <t>Hapur</t>
  </si>
  <si>
    <t>Present Sewerage System</t>
  </si>
  <si>
    <t>Input Data</t>
  </si>
  <si>
    <t>Waste Generation</t>
  </si>
  <si>
    <t>Present Population</t>
  </si>
  <si>
    <t>Sewage disposal through sewers</t>
  </si>
  <si>
    <t>No of Sewer connections</t>
  </si>
  <si>
    <t>Persons</t>
  </si>
  <si>
    <t>Coverage with sewer network</t>
  </si>
  <si>
    <t>STP Design Capacity</t>
  </si>
  <si>
    <t>Length of Gravity Sewer Network</t>
  </si>
  <si>
    <t>No of Sewage Pumping Stations</t>
  </si>
  <si>
    <t>STP Actual Flow</t>
  </si>
  <si>
    <t>No of Employees for sewerage</t>
  </si>
  <si>
    <t>Design Period for STP</t>
  </si>
  <si>
    <t>SewageTreatment Plant, Rate per MLD</t>
  </si>
  <si>
    <t>Table 2: Waste Water quantity Generation</t>
  </si>
  <si>
    <t>Waste Water</t>
  </si>
  <si>
    <t>WW in Sewers</t>
  </si>
  <si>
    <t>Waste Water qty reaching sewers</t>
  </si>
  <si>
    <t>GW Infiltration</t>
  </si>
  <si>
    <t>Qty other sources</t>
  </si>
  <si>
    <t xml:space="preserve">Table 3: STP Capacity Requirement </t>
  </si>
  <si>
    <t>Ultimate STP Capacity Required (30 years design period)</t>
  </si>
  <si>
    <t xml:space="preserve">Land requirement for STP </t>
  </si>
  <si>
    <t>Existing Capacity of STPs</t>
  </si>
  <si>
    <t>STP capacity required to be developed now</t>
  </si>
  <si>
    <t xml:space="preserve">Land Reqd </t>
  </si>
  <si>
    <t>ASP</t>
  </si>
  <si>
    <t>Ha/MLD</t>
  </si>
  <si>
    <t>STP capacity to develop in stages</t>
  </si>
  <si>
    <t>Stages</t>
  </si>
  <si>
    <t>No Modules</t>
  </si>
  <si>
    <t>STP capacity for Stage 1</t>
  </si>
  <si>
    <t>Qty of waste  from other sources</t>
  </si>
  <si>
    <t>STP capacity of 30 years to be developed in modules of equal capacity</t>
  </si>
  <si>
    <t>Ground Water Infiltration</t>
  </si>
  <si>
    <t>LPD/Ha</t>
  </si>
  <si>
    <t>Ground Water Table</t>
  </si>
  <si>
    <t>Area of Municipal Council</t>
  </si>
  <si>
    <t>Area of Master Plan Area, 2031</t>
  </si>
  <si>
    <t>Sewer Net work</t>
  </si>
  <si>
    <t>Construction of Sewage Pump House</t>
  </si>
  <si>
    <t>Construction of Sewage Treatment Plant</t>
  </si>
  <si>
    <t>Cost of Land for STP, SPS</t>
  </si>
  <si>
    <t>Ha</t>
  </si>
  <si>
    <t>Sewer Network per KM</t>
  </si>
  <si>
    <t>Table 2: Sewage Treatment Treatement Capacity</t>
  </si>
  <si>
    <t>STP capacity for Stage 2</t>
  </si>
  <si>
    <t xml:space="preserve"> green cells should be reviewed and modified/updated as per need</t>
  </si>
  <si>
    <t xml:space="preserve">Enter data if condition satisfy </t>
  </si>
  <si>
    <r>
      <t xml:space="preserve">1 </t>
    </r>
    <r>
      <rPr>
        <b/>
        <sz val="10.5"/>
        <color theme="3"/>
        <rFont val="Arial Narrow"/>
        <family val="2"/>
      </rPr>
      <t>Input Data:</t>
    </r>
    <r>
      <rPr>
        <sz val="10.5"/>
        <color theme="3"/>
        <rFont val="Arial Narrow"/>
        <family val="2"/>
      </rPr>
      <t xml:space="preserve">The cells for data input and requiring users review are shaded with different </t>
    </r>
  </si>
  <si>
    <r>
      <t xml:space="preserve">2 </t>
    </r>
    <r>
      <rPr>
        <b/>
        <sz val="10.5"/>
        <rFont val="Arial Narrow"/>
        <family val="2"/>
      </rPr>
      <t>Output:</t>
    </r>
    <r>
      <rPr>
        <sz val="10.5"/>
        <rFont val="Arial Narrow"/>
        <family val="2"/>
      </rPr>
      <t>3 output tables are given which is final output and shall be part of report</t>
    </r>
  </si>
  <si>
    <t xml:space="preserve">4 Population Projection: Excle sheet gives population projection by different </t>
  </si>
  <si>
    <r>
      <t xml:space="preserve">5 Sewage Pumping Station: </t>
    </r>
    <r>
      <rPr>
        <sz val="10.5"/>
        <rFont val="Arial Narrow"/>
        <family val="2"/>
      </rPr>
      <t>Three SPS required in this case. In case of more or less suitably it is to be corrected.</t>
    </r>
    <r>
      <rPr>
        <b/>
        <sz val="10.5"/>
        <rFont val="Arial Narrow"/>
        <family val="2"/>
      </rPr>
      <t xml:space="preserve"> </t>
    </r>
    <r>
      <rPr>
        <sz val="10.5"/>
        <rFont val="Arial Narrow"/>
        <family val="2"/>
      </rPr>
      <t>Yellow cells should be filled suitably and</t>
    </r>
  </si>
  <si>
    <t>Choose from drop down menu only</t>
  </si>
  <si>
    <t xml:space="preserve">SPS with civil, M &amp; E complete, per MLD </t>
  </si>
  <si>
    <t>Land Cost per Hectare</t>
  </si>
  <si>
    <t>Length of Sewer in meter per Hactare area of city</t>
  </si>
  <si>
    <t>STP capacity for all stages</t>
  </si>
  <si>
    <t>Rate of SPS per MLD</t>
  </si>
  <si>
    <t>Length of network</t>
  </si>
  <si>
    <t>Table 3 Sewer Network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</si>
</sst>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.5"/>
      <name val="Arial Narrow"/>
      <family val="2"/>
    </font>
    <font>
      <u/>
      <sz val="10.5"/>
      <name val="Arial Narrow"/>
      <family val="2"/>
    </font>
    <font>
      <u/>
      <sz val="10.5"/>
      <color rgb="FF00B0F0"/>
      <name val="Arial Narrow"/>
      <family val="2"/>
    </font>
    <font>
      <b/>
      <sz val="10.5"/>
      <name val="Arial Narrow"/>
      <family val="2"/>
    </font>
    <font>
      <sz val="10.5"/>
      <color theme="3"/>
      <name val="Arial Narrow"/>
      <family val="2"/>
    </font>
    <font>
      <sz val="10.5"/>
      <color rgb="FFFF0000"/>
      <name val="Arial Narrow"/>
      <family val="2"/>
    </font>
    <font>
      <sz val="10.5"/>
      <color theme="1"/>
      <name val="Arial Narrow"/>
      <family val="2"/>
    </font>
    <font>
      <b/>
      <sz val="10.5"/>
      <color theme="1"/>
      <name val="Arial Narrow"/>
      <family val="2"/>
    </font>
    <font>
      <sz val="10.5"/>
      <color rgb="FF0070C0"/>
      <name val="Arial Narrow"/>
      <family val="2"/>
    </font>
    <font>
      <b/>
      <sz val="10.5"/>
      <color rgb="FFFF0000"/>
      <name val="Arial Narrow"/>
      <family val="2"/>
    </font>
    <font>
      <sz val="10.5"/>
      <color rgb="FFFF0000"/>
      <name val="Arial"/>
      <family val="2"/>
    </font>
    <font>
      <sz val="10.5"/>
      <color indexed="12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name val="Arial Narrow"/>
      <family val="2"/>
    </font>
    <font>
      <b/>
      <sz val="10.5"/>
      <color theme="3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1" applyFont="1" applyBorder="1" applyProtection="1">
      <protection hidden="1"/>
    </xf>
    <xf numFmtId="0" fontId="3" fillId="0" borderId="0" xfId="1" applyFont="1" applyBorder="1" applyProtection="1">
      <protection hidden="1"/>
    </xf>
    <xf numFmtId="0" fontId="4" fillId="0" borderId="0" xfId="1" applyFont="1" applyBorder="1" applyProtection="1">
      <protection hidden="1"/>
    </xf>
    <xf numFmtId="0" fontId="2" fillId="0" borderId="0" xfId="1" applyFont="1" applyFill="1" applyBorder="1" applyProtection="1">
      <protection hidden="1"/>
    </xf>
    <xf numFmtId="0" fontId="2" fillId="0" borderId="1" xfId="1" applyFont="1" applyBorder="1" applyProtection="1">
      <protection hidden="1"/>
    </xf>
    <xf numFmtId="0" fontId="2" fillId="0" borderId="2" xfId="1" applyFont="1" applyBorder="1" applyProtection="1">
      <protection hidden="1"/>
    </xf>
    <xf numFmtId="0" fontId="2" fillId="0" borderId="1" xfId="1" applyFont="1" applyFill="1" applyBorder="1" applyProtection="1">
      <protection hidden="1"/>
    </xf>
    <xf numFmtId="0" fontId="2" fillId="0" borderId="2" xfId="1" applyFont="1" applyFill="1" applyBorder="1" applyProtection="1">
      <protection hidden="1"/>
    </xf>
    <xf numFmtId="0" fontId="2" fillId="0" borderId="0" xfId="1" applyFont="1" applyBorder="1" applyProtection="1">
      <protection locked="0" hidden="1"/>
    </xf>
    <xf numFmtId="43" fontId="2" fillId="4" borderId="0" xfId="2" applyFont="1" applyFill="1" applyBorder="1" applyAlignment="1" applyProtection="1">
      <alignment horizontal="center"/>
      <protection locked="0" hidden="1"/>
    </xf>
    <xf numFmtId="0" fontId="7" fillId="0" borderId="0" xfId="1" applyFont="1" applyFill="1" applyBorder="1" applyProtection="1">
      <protection hidden="1"/>
    </xf>
    <xf numFmtId="164" fontId="2" fillId="0" borderId="0" xfId="2" applyNumberFormat="1" applyFont="1" applyFill="1" applyBorder="1" applyProtection="1">
      <protection hidden="1"/>
    </xf>
    <xf numFmtId="164" fontId="7" fillId="0" borderId="0" xfId="2" applyNumberFormat="1" applyFont="1" applyFill="1" applyBorder="1" applyProtection="1">
      <protection hidden="1"/>
    </xf>
    <xf numFmtId="0" fontId="2" fillId="0" borderId="0" xfId="1" applyFont="1" applyFill="1" applyBorder="1" applyAlignment="1" applyProtection="1">
      <alignment horizontal="center"/>
      <protection hidden="1"/>
    </xf>
    <xf numFmtId="0" fontId="2" fillId="0" borderId="2" xfId="1" applyFont="1" applyFill="1" applyBorder="1" applyAlignment="1" applyProtection="1">
      <alignment horizontal="center"/>
      <protection hidden="1"/>
    </xf>
    <xf numFmtId="0" fontId="2" fillId="0" borderId="0" xfId="1" applyFont="1" applyFill="1" applyBorder="1" applyAlignment="1" applyProtection="1">
      <alignment vertical="top" wrapText="1"/>
      <protection hidden="1"/>
    </xf>
    <xf numFmtId="0" fontId="8" fillId="0" borderId="1" xfId="0" applyFont="1" applyBorder="1"/>
    <xf numFmtId="0" fontId="8" fillId="0" borderId="2" xfId="0" applyFont="1" applyBorder="1" applyAlignment="1">
      <alignment horizontal="left"/>
    </xf>
    <xf numFmtId="0" fontId="2" fillId="0" borderId="2" xfId="1" applyFont="1" applyBorder="1" applyAlignment="1" applyProtection="1">
      <alignment horizontal="center"/>
      <protection hidden="1"/>
    </xf>
    <xf numFmtId="10" fontId="2" fillId="5" borderId="6" xfId="1" applyNumberFormat="1" applyFont="1" applyFill="1" applyBorder="1" applyAlignment="1" applyProtection="1">
      <alignment horizontal="center"/>
      <protection locked="0" hidden="1"/>
    </xf>
    <xf numFmtId="0" fontId="9" fillId="0" borderId="0" xfId="1" applyFont="1" applyProtection="1">
      <protection hidden="1"/>
    </xf>
    <xf numFmtId="0" fontId="8" fillId="0" borderId="0" xfId="1" applyFont="1" applyProtection="1">
      <protection hidden="1"/>
    </xf>
    <xf numFmtId="0" fontId="7" fillId="0" borderId="0" xfId="1" applyFont="1" applyProtection="1">
      <protection hidden="1"/>
    </xf>
    <xf numFmtId="164" fontId="8" fillId="0" borderId="0" xfId="2" applyNumberFormat="1" applyFont="1" applyProtection="1">
      <protection hidden="1"/>
    </xf>
    <xf numFmtId="10" fontId="7" fillId="0" borderId="0" xfId="3" applyNumberFormat="1" applyFont="1" applyProtection="1">
      <protection hidden="1"/>
    </xf>
    <xf numFmtId="0" fontId="8" fillId="0" borderId="0" xfId="1" applyFont="1" applyFill="1" applyProtection="1">
      <protection hidden="1"/>
    </xf>
    <xf numFmtId="164" fontId="8" fillId="0" borderId="0" xfId="1" applyNumberFormat="1" applyFont="1" applyProtection="1">
      <protection hidden="1"/>
    </xf>
    <xf numFmtId="1" fontId="8" fillId="6" borderId="0" xfId="1" applyNumberFormat="1" applyFont="1" applyFill="1" applyProtection="1">
      <protection hidden="1"/>
    </xf>
    <xf numFmtId="164" fontId="10" fillId="0" borderId="0" xfId="1" applyNumberFormat="1" applyFont="1" applyProtection="1">
      <protection hidden="1"/>
    </xf>
    <xf numFmtId="10" fontId="10" fillId="0" borderId="0" xfId="3" applyNumberFormat="1" applyFont="1" applyProtection="1">
      <protection hidden="1"/>
    </xf>
    <xf numFmtId="1" fontId="8" fillId="0" borderId="0" xfId="1" applyNumberFormat="1" applyFont="1" applyProtection="1">
      <protection hidden="1"/>
    </xf>
    <xf numFmtId="0" fontId="8" fillId="0" borderId="0" xfId="1" applyFont="1" applyAlignment="1" applyProtection="1">
      <alignment vertical="top"/>
      <protection hidden="1"/>
    </xf>
    <xf numFmtId="2" fontId="8" fillId="0" borderId="0" xfId="1" applyNumberFormat="1" applyFont="1" applyAlignment="1" applyProtection="1">
      <alignment vertical="top" wrapText="1"/>
      <protection hidden="1"/>
    </xf>
    <xf numFmtId="164" fontId="7" fillId="0" borderId="0" xfId="2" applyNumberFormat="1" applyFont="1" applyProtection="1">
      <protection hidden="1"/>
    </xf>
    <xf numFmtId="43" fontId="13" fillId="7" borderId="0" xfId="2" applyFont="1" applyFill="1" applyAlignment="1" applyProtection="1">
      <alignment horizontal="center"/>
      <protection hidden="1"/>
    </xf>
    <xf numFmtId="10" fontId="2" fillId="0" borderId="0" xfId="1" applyNumberFormat="1" applyFont="1" applyFill="1" applyBorder="1" applyAlignment="1" applyProtection="1">
      <alignment horizontal="center"/>
      <protection locked="0" hidden="1"/>
    </xf>
    <xf numFmtId="164" fontId="2" fillId="0" borderId="2" xfId="2" applyNumberFormat="1" applyFont="1" applyFill="1" applyBorder="1" applyAlignment="1" applyProtection="1">
      <alignment horizontal="center"/>
      <protection locked="0" hidden="1"/>
    </xf>
    <xf numFmtId="1" fontId="2" fillId="0" borderId="0" xfId="1" applyNumberFormat="1" applyFont="1" applyFill="1" applyBorder="1" applyProtection="1">
      <protection hidden="1"/>
    </xf>
    <xf numFmtId="164" fontId="2" fillId="4" borderId="0" xfId="2" applyNumberFormat="1" applyFont="1" applyFill="1" applyBorder="1" applyAlignment="1" applyProtection="1">
      <alignment horizontal="center"/>
      <protection locked="0" hidden="1"/>
    </xf>
    <xf numFmtId="1" fontId="2" fillId="0" borderId="0" xfId="1" applyNumberFormat="1" applyFont="1" applyFill="1" applyBorder="1" applyAlignment="1" applyProtection="1">
      <alignment horizontal="right"/>
      <protection locked="0" hidden="1"/>
    </xf>
    <xf numFmtId="1" fontId="2" fillId="6" borderId="0" xfId="1" applyNumberFormat="1" applyFont="1" applyFill="1" applyBorder="1" applyAlignment="1" applyProtection="1">
      <alignment horizontal="right"/>
      <protection locked="0" hidden="1"/>
    </xf>
    <xf numFmtId="0" fontId="5" fillId="0" borderId="0" xfId="1" applyFont="1" applyBorder="1" applyProtection="1">
      <protection hidden="1"/>
    </xf>
    <xf numFmtId="0" fontId="8" fillId="0" borderId="0" xfId="1" applyFont="1" applyAlignment="1" applyProtection="1">
      <alignment vertical="top" wrapText="1"/>
      <protection hidden="1"/>
    </xf>
    <xf numFmtId="164" fontId="7" fillId="0" borderId="0" xfId="5" applyNumberFormat="1" applyFont="1" applyProtection="1">
      <protection hidden="1"/>
    </xf>
    <xf numFmtId="10" fontId="7" fillId="0" borderId="0" xfId="5" applyNumberFormat="1" applyFo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Protection="1">
      <protection hidden="1"/>
    </xf>
    <xf numFmtId="164" fontId="11" fillId="0" borderId="0" xfId="0" applyNumberFormat="1" applyFont="1" applyProtection="1">
      <protection hidden="1"/>
    </xf>
    <xf numFmtId="10" fontId="11" fillId="0" borderId="0" xfId="5" applyNumberFormat="1" applyFont="1" applyProtection="1">
      <protection hidden="1"/>
    </xf>
    <xf numFmtId="164" fontId="7" fillId="0" borderId="0" xfId="0" applyNumberFormat="1" applyFont="1" applyProtection="1">
      <protection hidden="1"/>
    </xf>
    <xf numFmtId="164" fontId="12" fillId="0" borderId="0" xfId="4" applyNumberFormat="1" applyFont="1" applyProtection="1">
      <protection hidden="1"/>
    </xf>
    <xf numFmtId="164" fontId="7" fillId="0" borderId="0" xfId="4" applyNumberFormat="1" applyFont="1" applyProtection="1">
      <protection hidden="1"/>
    </xf>
    <xf numFmtId="0" fontId="15" fillId="0" borderId="0" xfId="0" applyFont="1"/>
    <xf numFmtId="0" fontId="16" fillId="0" borderId="0" xfId="0" applyFont="1" applyAlignment="1"/>
    <xf numFmtId="0" fontId="17" fillId="0" borderId="0" xfId="0" applyFont="1"/>
    <xf numFmtId="0" fontId="17" fillId="0" borderId="13" xfId="0" applyFont="1" applyBorder="1"/>
    <xf numFmtId="0" fontId="17" fillId="0" borderId="6" xfId="0" applyFont="1" applyBorder="1"/>
    <xf numFmtId="0" fontId="17" fillId="0" borderId="14" xfId="0" applyFont="1" applyBorder="1"/>
    <xf numFmtId="0" fontId="15" fillId="0" borderId="6" xfId="0" applyFont="1" applyBorder="1"/>
    <xf numFmtId="0" fontId="15" fillId="0" borderId="16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0" fontId="15" fillId="0" borderId="13" xfId="0" applyFont="1" applyBorder="1" applyAlignment="1"/>
    <xf numFmtId="0" fontId="15" fillId="0" borderId="6" xfId="0" applyFont="1" applyBorder="1" applyAlignment="1"/>
    <xf numFmtId="43" fontId="15" fillId="0" borderId="14" xfId="4" applyFont="1" applyBorder="1"/>
    <xf numFmtId="164" fontId="15" fillId="0" borderId="14" xfId="4" applyNumberFormat="1" applyFont="1" applyBorder="1"/>
    <xf numFmtId="0" fontId="15" fillId="0" borderId="13" xfId="0" applyFont="1" applyBorder="1"/>
    <xf numFmtId="0" fontId="15" fillId="0" borderId="15" xfId="0" applyFont="1" applyBorder="1"/>
    <xf numFmtId="0" fontId="15" fillId="8" borderId="12" xfId="0" applyFont="1" applyFill="1" applyBorder="1"/>
    <xf numFmtId="0" fontId="15" fillId="8" borderId="10" xfId="0" applyFont="1" applyFill="1" applyBorder="1" applyAlignment="1"/>
    <xf numFmtId="164" fontId="15" fillId="0" borderId="6" xfId="4" applyNumberFormat="1" applyFont="1" applyBorder="1"/>
    <xf numFmtId="164" fontId="15" fillId="0" borderId="16" xfId="4" applyNumberFormat="1" applyFont="1" applyBorder="1"/>
    <xf numFmtId="43" fontId="15" fillId="0" borderId="6" xfId="4" applyNumberFormat="1" applyFont="1" applyBorder="1"/>
    <xf numFmtId="43" fontId="15" fillId="0" borderId="14" xfId="4" applyNumberFormat="1" applyFont="1" applyBorder="1"/>
    <xf numFmtId="43" fontId="15" fillId="0" borderId="16" xfId="4" applyNumberFormat="1" applyFont="1" applyBorder="1"/>
    <xf numFmtId="43" fontId="15" fillId="0" borderId="17" xfId="4" applyNumberFormat="1" applyFont="1" applyBorder="1"/>
    <xf numFmtId="164" fontId="16" fillId="0" borderId="14" xfId="4" applyNumberFormat="1" applyFont="1" applyBorder="1"/>
    <xf numFmtId="9" fontId="15" fillId="0" borderId="6" xfId="0" applyNumberFormat="1" applyFont="1" applyBorder="1"/>
    <xf numFmtId="164" fontId="16" fillId="0" borderId="17" xfId="4" applyNumberFormat="1" applyFont="1" applyBorder="1"/>
    <xf numFmtId="0" fontId="16" fillId="0" borderId="0" xfId="0" applyFont="1"/>
    <xf numFmtId="0" fontId="15" fillId="9" borderId="10" xfId="0" applyFont="1" applyFill="1" applyBorder="1"/>
    <xf numFmtId="0" fontId="15" fillId="9" borderId="11" xfId="0" applyFont="1" applyFill="1" applyBorder="1"/>
    <xf numFmtId="0" fontId="15" fillId="9" borderId="12" xfId="0" applyFont="1" applyFill="1" applyBorder="1"/>
    <xf numFmtId="0" fontId="15" fillId="0" borderId="13" xfId="0" applyFont="1" applyFill="1" applyBorder="1"/>
    <xf numFmtId="0" fontId="15" fillId="0" borderId="6" xfId="0" applyFont="1" applyFill="1" applyBorder="1"/>
    <xf numFmtId="0" fontId="17" fillId="0" borderId="14" xfId="0" applyFont="1" applyFill="1" applyBorder="1"/>
    <xf numFmtId="43" fontId="15" fillId="0" borderId="14" xfId="0" applyNumberFormat="1" applyFont="1" applyBorder="1"/>
    <xf numFmtId="43" fontId="15" fillId="0" borderId="17" xfId="0" applyNumberFormat="1" applyFont="1" applyBorder="1"/>
    <xf numFmtId="10" fontId="2" fillId="6" borderId="0" xfId="5" applyNumberFormat="1" applyFont="1" applyFill="1" applyProtection="1">
      <protection hidden="1"/>
    </xf>
    <xf numFmtId="10" fontId="2" fillId="5" borderId="7" xfId="5" applyNumberFormat="1" applyFont="1" applyFill="1" applyBorder="1" applyAlignment="1" applyProtection="1">
      <alignment horizontal="center"/>
      <protection locked="0" hidden="1"/>
    </xf>
    <xf numFmtId="0" fontId="15" fillId="0" borderId="0" xfId="0" applyFont="1" applyAlignment="1">
      <alignment horizontal="right"/>
    </xf>
    <xf numFmtId="0" fontId="15" fillId="9" borderId="18" xfId="0" applyFont="1" applyFill="1" applyBorder="1"/>
    <xf numFmtId="0" fontId="15" fillId="9" borderId="19" xfId="0" applyFont="1" applyFill="1" applyBorder="1"/>
    <xf numFmtId="0" fontId="15" fillId="9" borderId="20" xfId="0" applyFont="1" applyFill="1" applyBorder="1"/>
    <xf numFmtId="0" fontId="18" fillId="0" borderId="0" xfId="1" applyFont="1" applyBorder="1" applyProtection="1"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2" fillId="0" borderId="0" xfId="0" applyFont="1" applyBorder="1" applyAlignment="1" applyProtection="1">
      <alignment vertical="top" wrapText="1"/>
      <protection hidden="1"/>
    </xf>
    <xf numFmtId="0" fontId="2" fillId="7" borderId="1" xfId="0" applyFont="1" applyFill="1" applyBorder="1" applyAlignment="1" applyProtection="1">
      <alignment vertical="top" wrapText="1"/>
      <protection hidden="1"/>
    </xf>
    <xf numFmtId="0" fontId="2" fillId="11" borderId="1" xfId="0" applyFont="1" applyFill="1" applyBorder="1" applyAlignment="1" applyProtection="1">
      <alignment vertical="top" wrapText="1"/>
      <protection hidden="1"/>
    </xf>
    <xf numFmtId="0" fontId="2" fillId="0" borderId="2" xfId="0" applyFont="1" applyBorder="1" applyAlignment="1" applyProtection="1">
      <alignment vertical="top"/>
      <protection hidden="1"/>
    </xf>
    <xf numFmtId="164" fontId="2" fillId="10" borderId="6" xfId="2" applyNumberFormat="1" applyFont="1" applyFill="1" applyBorder="1" applyProtection="1">
      <protection locked="0" hidden="1"/>
    </xf>
    <xf numFmtId="164" fontId="2" fillId="6" borderId="6" xfId="2" applyNumberFormat="1" applyFont="1" applyFill="1" applyBorder="1" applyAlignment="1" applyProtection="1">
      <protection locked="0" hidden="1"/>
    </xf>
    <xf numFmtId="164" fontId="2" fillId="6" borderId="6" xfId="2" applyNumberFormat="1" applyFont="1" applyFill="1" applyBorder="1" applyAlignment="1" applyProtection="1">
      <alignment horizontal="center"/>
      <protection locked="0" hidden="1"/>
    </xf>
    <xf numFmtId="164" fontId="2" fillId="6" borderId="7" xfId="2" applyNumberFormat="1" applyFont="1" applyFill="1" applyBorder="1" applyAlignment="1" applyProtection="1">
      <alignment horizontal="center"/>
      <protection locked="0" hidden="1"/>
    </xf>
    <xf numFmtId="164" fontId="2" fillId="10" borderId="26" xfId="2" applyNumberFormat="1" applyFont="1" applyFill="1" applyBorder="1" applyProtection="1">
      <protection locked="0" hidden="1"/>
    </xf>
    <xf numFmtId="0" fontId="2" fillId="12" borderId="0" xfId="0" applyFont="1" applyFill="1" applyBorder="1" applyAlignment="1" applyProtection="1">
      <alignment vertical="top" wrapText="1"/>
      <protection hidden="1"/>
    </xf>
    <xf numFmtId="0" fontId="2" fillId="13" borderId="0" xfId="0" applyFont="1" applyFill="1" applyBorder="1" applyAlignment="1" applyProtection="1">
      <alignment vertical="top" wrapText="1"/>
      <protection hidden="1"/>
    </xf>
    <xf numFmtId="10" fontId="8" fillId="0" borderId="0" xfId="1" applyNumberFormat="1" applyFont="1" applyProtection="1">
      <protection hidden="1"/>
    </xf>
    <xf numFmtId="0" fontId="2" fillId="2" borderId="0" xfId="1" applyFont="1" applyFill="1" applyBorder="1" applyProtection="1">
      <protection hidden="1"/>
    </xf>
    <xf numFmtId="0" fontId="2" fillId="0" borderId="0" xfId="1" applyFont="1" applyBorder="1" applyAlignment="1" applyProtection="1">
      <protection hidden="1"/>
    </xf>
    <xf numFmtId="0" fontId="15" fillId="0" borderId="28" xfId="0" applyFont="1" applyBorder="1" applyAlignment="1"/>
    <xf numFmtId="0" fontId="15" fillId="0" borderId="29" xfId="0" applyFont="1" applyBorder="1" applyAlignment="1"/>
    <xf numFmtId="0" fontId="15" fillId="0" borderId="29" xfId="0" applyFont="1" applyBorder="1"/>
    <xf numFmtId="43" fontId="15" fillId="0" borderId="30" xfId="4" applyFont="1" applyBorder="1"/>
    <xf numFmtId="0" fontId="15" fillId="0" borderId="0" xfId="0" applyFont="1" applyBorder="1" applyAlignment="1"/>
    <xf numFmtId="0" fontId="15" fillId="0" borderId="0" xfId="0" applyFont="1" applyBorder="1"/>
    <xf numFmtId="0" fontId="15" fillId="0" borderId="27" xfId="0" applyFont="1" applyBorder="1" applyAlignment="1"/>
    <xf numFmtId="0" fontId="15" fillId="0" borderId="25" xfId="0" applyFont="1" applyBorder="1"/>
    <xf numFmtId="164" fontId="15" fillId="0" borderId="32" xfId="4" applyNumberFormat="1" applyFont="1" applyBorder="1"/>
    <xf numFmtId="0" fontId="15" fillId="0" borderId="33" xfId="0" applyFont="1" applyBorder="1"/>
    <xf numFmtId="164" fontId="15" fillId="0" borderId="31" xfId="0" applyNumberFormat="1" applyFont="1" applyBorder="1"/>
    <xf numFmtId="0" fontId="15" fillId="3" borderId="0" xfId="0" applyFont="1" applyFill="1" applyBorder="1"/>
    <xf numFmtId="0" fontId="17" fillId="0" borderId="0" xfId="0" applyFont="1" applyFill="1" applyBorder="1"/>
    <xf numFmtId="43" fontId="15" fillId="0" borderId="0" xfId="0" applyNumberFormat="1" applyFont="1" applyBorder="1"/>
    <xf numFmtId="0" fontId="2" fillId="0" borderId="0" xfId="1" applyFont="1" applyFill="1" applyBorder="1" applyAlignment="1" applyProtection="1">
      <protection hidden="1"/>
    </xf>
    <xf numFmtId="164" fontId="8" fillId="2" borderId="0" xfId="4" applyNumberFormat="1" applyFont="1" applyFill="1" applyBorder="1"/>
    <xf numFmtId="164" fontId="2" fillId="2" borderId="0" xfId="4" applyNumberFormat="1" applyFont="1" applyFill="1" applyBorder="1" applyProtection="1">
      <protection hidden="1"/>
    </xf>
    <xf numFmtId="0" fontId="8" fillId="0" borderId="0" xfId="0" applyFont="1" applyBorder="1"/>
    <xf numFmtId="0" fontId="6" fillId="0" borderId="1" xfId="1" applyFont="1" applyFill="1" applyBorder="1" applyAlignment="1" applyProtection="1">
      <alignment vertical="top" wrapText="1"/>
      <protection hidden="1"/>
    </xf>
    <xf numFmtId="0" fontId="6" fillId="0" borderId="0" xfId="1" applyFont="1" applyFill="1" applyBorder="1" applyAlignment="1" applyProtection="1">
      <alignment vertical="top" wrapText="1"/>
      <protection hidden="1"/>
    </xf>
    <xf numFmtId="0" fontId="6" fillId="0" borderId="2" xfId="1" applyFont="1" applyFill="1" applyBorder="1" applyAlignment="1" applyProtection="1">
      <alignment vertical="top" wrapText="1"/>
      <protection hidden="1"/>
    </xf>
    <xf numFmtId="164" fontId="2" fillId="3" borderId="26" xfId="2" applyNumberFormat="1" applyFont="1" applyFill="1" applyBorder="1" applyProtection="1">
      <protection locked="0" hidden="1"/>
    </xf>
    <xf numFmtId="0" fontId="5" fillId="0" borderId="0" xfId="1" applyFont="1" applyBorder="1" applyAlignment="1" applyProtection="1">
      <protection hidden="1"/>
    </xf>
    <xf numFmtId="0" fontId="2" fillId="0" borderId="0" xfId="1" applyFont="1" applyFill="1" applyBorder="1" applyAlignment="1" applyProtection="1">
      <alignment horizontal="right"/>
      <protection hidden="1"/>
    </xf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/>
    <xf numFmtId="0" fontId="8" fillId="3" borderId="0" xfId="0" applyFont="1" applyFill="1" applyBorder="1"/>
    <xf numFmtId="164" fontId="8" fillId="3" borderId="0" xfId="4" applyNumberFormat="1" applyFont="1" applyFill="1" applyBorder="1"/>
    <xf numFmtId="164" fontId="2" fillId="10" borderId="0" xfId="4" applyNumberFormat="1" applyFont="1" applyFill="1" applyBorder="1" applyProtection="1">
      <protection hidden="1"/>
    </xf>
    <xf numFmtId="10" fontId="2" fillId="10" borderId="0" xfId="4" applyNumberFormat="1" applyFont="1" applyFill="1" applyBorder="1" applyProtection="1">
      <protection hidden="1"/>
    </xf>
    <xf numFmtId="0" fontId="2" fillId="2" borderId="0" xfId="1" applyFont="1" applyFill="1" applyBorder="1" applyAlignment="1" applyProtection="1">
      <protection hidden="1"/>
    </xf>
    <xf numFmtId="43" fontId="2" fillId="2" borderId="0" xfId="4" applyNumberFormat="1" applyFont="1" applyFill="1" applyBorder="1" applyProtection="1">
      <protection hidden="1"/>
    </xf>
    <xf numFmtId="0" fontId="8" fillId="0" borderId="2" xfId="0" applyFont="1" applyFill="1" applyBorder="1" applyAlignment="1">
      <alignment vertical="center"/>
    </xf>
    <xf numFmtId="0" fontId="8" fillId="0" borderId="2" xfId="0" applyFont="1" applyBorder="1"/>
    <xf numFmtId="0" fontId="8" fillId="3" borderId="2" xfId="0" applyFont="1" applyFill="1" applyBorder="1"/>
    <xf numFmtId="0" fontId="8" fillId="0" borderId="2" xfId="0" applyFont="1" applyBorder="1" applyAlignment="1">
      <alignment wrapText="1"/>
    </xf>
    <xf numFmtId="0" fontId="2" fillId="2" borderId="24" xfId="1" applyFont="1" applyFill="1" applyBorder="1" applyProtection="1">
      <protection hidden="1"/>
    </xf>
    <xf numFmtId="0" fontId="2" fillId="0" borderId="9" xfId="1" applyFont="1" applyBorder="1" applyProtection="1">
      <protection hidden="1"/>
    </xf>
    <xf numFmtId="0" fontId="2" fillId="0" borderId="0" xfId="1" applyFont="1" applyBorder="1" applyAlignment="1" applyProtection="1">
      <alignment horizontal="center"/>
      <protection hidden="1"/>
    </xf>
    <xf numFmtId="1" fontId="15" fillId="0" borderId="0" xfId="0" applyNumberFormat="1" applyFont="1"/>
    <xf numFmtId="164" fontId="15" fillId="0" borderId="32" xfId="0" applyNumberFormat="1" applyFont="1" applyBorder="1"/>
    <xf numFmtId="164" fontId="2" fillId="3" borderId="2" xfId="4" applyNumberFormat="1" applyFont="1" applyFill="1" applyBorder="1" applyProtection="1">
      <protection hidden="1"/>
    </xf>
    <xf numFmtId="164" fontId="2" fillId="3" borderId="0" xfId="4" applyNumberFormat="1" applyFont="1" applyFill="1" applyBorder="1" applyProtection="1">
      <protection locked="0" hidden="1"/>
    </xf>
    <xf numFmtId="0" fontId="2" fillId="10" borderId="0" xfId="1" applyFont="1" applyFill="1" applyBorder="1" applyProtection="1">
      <protection hidden="1"/>
    </xf>
    <xf numFmtId="164" fontId="8" fillId="10" borderId="0" xfId="4" applyNumberFormat="1" applyFont="1" applyFill="1" applyBorder="1"/>
    <xf numFmtId="0" fontId="2" fillId="0" borderId="24" xfId="1" applyFont="1" applyBorder="1" applyAlignment="1" applyProtection="1">
      <protection hidden="1"/>
    </xf>
    <xf numFmtId="0" fontId="2" fillId="0" borderId="24" xfId="1" applyFont="1" applyFill="1" applyBorder="1" applyProtection="1">
      <protection hidden="1"/>
    </xf>
    <xf numFmtId="0" fontId="2" fillId="10" borderId="24" xfId="1" applyFont="1" applyFill="1" applyBorder="1" applyProtection="1">
      <protection hidden="1"/>
    </xf>
    <xf numFmtId="164" fontId="2" fillId="3" borderId="34" xfId="4" applyNumberFormat="1" applyFont="1" applyFill="1" applyBorder="1" applyProtection="1">
      <protection hidden="1"/>
    </xf>
    <xf numFmtId="0" fontId="8" fillId="0" borderId="35" xfId="0" applyFont="1" applyBorder="1"/>
    <xf numFmtId="0" fontId="2" fillId="0" borderId="0" xfId="1" applyFont="1" applyBorder="1" applyAlignment="1" applyProtection="1">
      <alignment horizontal="center"/>
      <protection hidden="1"/>
    </xf>
    <xf numFmtId="0" fontId="2" fillId="0" borderId="0" xfId="1" applyFont="1" applyBorder="1" applyAlignment="1" applyProtection="1">
      <alignment horizontal="left"/>
      <protection hidden="1"/>
    </xf>
    <xf numFmtId="0" fontId="2" fillId="0" borderId="24" xfId="1" applyFont="1" applyBorder="1" applyAlignment="1" applyProtection="1">
      <alignment horizontal="left"/>
      <protection hidden="1"/>
    </xf>
    <xf numFmtId="164" fontId="7" fillId="0" borderId="0" xfId="2" applyNumberFormat="1" applyFont="1" applyFill="1" applyBorder="1" applyAlignment="1" applyProtection="1">
      <alignment horizontal="left" wrapText="1"/>
      <protection hidden="1"/>
    </xf>
    <xf numFmtId="164" fontId="7" fillId="0" borderId="2" xfId="2" applyNumberFormat="1" applyFont="1" applyFill="1" applyBorder="1" applyAlignment="1" applyProtection="1">
      <alignment horizontal="left" wrapText="1"/>
      <protection hidden="1"/>
    </xf>
    <xf numFmtId="0" fontId="2" fillId="0" borderId="0" xfId="1" applyFont="1" applyFill="1" applyBorder="1" applyAlignment="1" applyProtection="1">
      <alignment horizontal="center" wrapText="1"/>
      <protection hidden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0" fontId="5" fillId="0" borderId="21" xfId="1" applyFont="1" applyFill="1" applyBorder="1" applyAlignment="1" applyProtection="1">
      <alignment horizontal="center"/>
      <protection hidden="1"/>
    </xf>
    <xf numFmtId="0" fontId="5" fillId="0" borderId="22" xfId="1" applyFont="1" applyFill="1" applyBorder="1" applyAlignment="1" applyProtection="1">
      <alignment horizontal="center"/>
      <protection hidden="1"/>
    </xf>
    <xf numFmtId="0" fontId="5" fillId="0" borderId="23" xfId="1" applyFont="1" applyFill="1" applyBorder="1" applyAlignment="1" applyProtection="1">
      <alignment horizontal="center"/>
      <protection hidden="1"/>
    </xf>
    <xf numFmtId="0" fontId="6" fillId="0" borderId="1" xfId="1" applyFont="1" applyFill="1" applyBorder="1" applyAlignment="1" applyProtection="1">
      <alignment horizontal="left" vertical="top" wrapText="1"/>
      <protection hidden="1"/>
    </xf>
    <xf numFmtId="0" fontId="6" fillId="0" borderId="0" xfId="1" applyFont="1" applyFill="1" applyBorder="1" applyAlignment="1" applyProtection="1">
      <alignment horizontal="left" vertical="top" wrapText="1"/>
      <protection hidden="1"/>
    </xf>
    <xf numFmtId="0" fontId="6" fillId="0" borderId="2" xfId="1" applyFont="1" applyFill="1" applyBorder="1" applyAlignment="1" applyProtection="1">
      <alignment horizontal="left" vertical="top" wrapText="1"/>
      <protection hidden="1"/>
    </xf>
    <xf numFmtId="0" fontId="6" fillId="0" borderId="1" xfId="1" applyFont="1" applyFill="1" applyBorder="1" applyAlignment="1" applyProtection="1">
      <alignment horizontal="center" vertical="top" wrapText="1"/>
      <protection hidden="1"/>
    </xf>
    <xf numFmtId="0" fontId="6" fillId="0" borderId="0" xfId="1" applyFont="1" applyFill="1" applyBorder="1" applyAlignment="1" applyProtection="1">
      <alignment horizontal="center" vertical="top" wrapText="1"/>
      <protection hidden="1"/>
    </xf>
    <xf numFmtId="0" fontId="6" fillId="0" borderId="2" xfId="1" applyFont="1" applyFill="1" applyBorder="1" applyAlignment="1" applyProtection="1">
      <alignment horizontal="center" vertical="top" wrapText="1"/>
      <protection hidden="1"/>
    </xf>
    <xf numFmtId="0" fontId="5" fillId="0" borderId="3" xfId="1" applyFont="1" applyBorder="1" applyAlignment="1" applyProtection="1">
      <alignment horizontal="center"/>
      <protection hidden="1"/>
    </xf>
    <xf numFmtId="0" fontId="5" fillId="0" borderId="4" xfId="1" applyFont="1" applyBorder="1" applyAlignment="1" applyProtection="1">
      <alignment horizontal="center"/>
      <protection hidden="1"/>
    </xf>
    <xf numFmtId="0" fontId="5" fillId="0" borderId="5" xfId="1" applyFont="1" applyBorder="1" applyAlignment="1" applyProtection="1">
      <alignment horizontal="center"/>
      <protection hidden="1"/>
    </xf>
    <xf numFmtId="0" fontId="2" fillId="0" borderId="0" xfId="1" applyFont="1" applyFill="1" applyBorder="1" applyAlignment="1" applyProtection="1">
      <alignment horizontal="left" wrapText="1"/>
      <protection hidden="1"/>
    </xf>
    <xf numFmtId="0" fontId="2" fillId="0" borderId="1" xfId="1" applyFont="1" applyBorder="1" applyAlignment="1" applyProtection="1">
      <alignment horizontal="left"/>
      <protection hidden="1"/>
    </xf>
    <xf numFmtId="0" fontId="2" fillId="0" borderId="2" xfId="1" applyFont="1" applyBorder="1" applyAlignment="1" applyProtection="1">
      <alignment horizontal="left"/>
      <protection hidden="1"/>
    </xf>
    <xf numFmtId="0" fontId="2" fillId="0" borderId="1" xfId="1" applyFont="1" applyFill="1" applyBorder="1" applyAlignment="1" applyProtection="1">
      <alignment horizontal="left" vertical="top" wrapText="1"/>
      <protection hidden="1"/>
    </xf>
    <xf numFmtId="0" fontId="2" fillId="0" borderId="0" xfId="1" applyFont="1" applyFill="1" applyBorder="1" applyAlignment="1" applyProtection="1">
      <alignment horizontal="left" vertical="top" wrapText="1"/>
      <protection hidden="1"/>
    </xf>
    <xf numFmtId="0" fontId="2" fillId="0" borderId="2" xfId="1" applyFont="1" applyFill="1" applyBorder="1" applyAlignment="1" applyProtection="1">
      <alignment horizontal="left" vertical="top" wrapText="1"/>
      <protection hidden="1"/>
    </xf>
    <xf numFmtId="0" fontId="2" fillId="0" borderId="8" xfId="1" applyFont="1" applyFill="1" applyBorder="1" applyAlignment="1" applyProtection="1">
      <alignment horizontal="left" vertical="top" wrapText="1"/>
      <protection hidden="1"/>
    </xf>
    <xf numFmtId="0" fontId="2" fillId="0" borderId="24" xfId="1" applyFont="1" applyFill="1" applyBorder="1" applyAlignment="1" applyProtection="1">
      <alignment horizontal="left" vertical="top" wrapText="1"/>
      <protection hidden="1"/>
    </xf>
    <xf numFmtId="0" fontId="2" fillId="0" borderId="9" xfId="1" applyFont="1" applyFill="1" applyBorder="1" applyAlignment="1" applyProtection="1">
      <alignment horizontal="left" vertical="top" wrapText="1"/>
      <protection hidden="1"/>
    </xf>
    <xf numFmtId="0" fontId="5" fillId="0" borderId="1" xfId="1" applyFont="1" applyBorder="1" applyAlignment="1" applyProtection="1">
      <alignment horizontal="left"/>
      <protection hidden="1"/>
    </xf>
    <xf numFmtId="0" fontId="2" fillId="0" borderId="0" xfId="1" applyFont="1" applyFill="1" applyBorder="1" applyAlignment="1" applyProtection="1">
      <alignment horizontal="left"/>
      <protection hidden="1"/>
    </xf>
  </cellXfs>
  <cellStyles count="6">
    <cellStyle name="Comma" xfId="4" builtinId="3"/>
    <cellStyle name="Comma 2" xfId="2"/>
    <cellStyle name="Normal" xfId="0" builtinId="0"/>
    <cellStyle name="Normal 2" xfId="1"/>
    <cellStyle name="Percent" xfId="5" builtinId="5"/>
    <cellStyle name="Percent 2" xfId="3"/>
  </cellStyles>
  <dxfs count="21">
    <dxf>
      <font>
        <color theme="3"/>
      </font>
      <fill>
        <patternFill>
          <bgColor rgb="FF92D050"/>
        </patternFill>
      </fill>
    </dxf>
    <dxf>
      <font>
        <color rgb="FF0070C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lor rgb="FF0070C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U46"/>
  <sheetViews>
    <sheetView tabSelected="1" topLeftCell="A14" workbookViewId="0">
      <selection activeCell="J39" sqref="J39"/>
    </sheetView>
  </sheetViews>
  <sheetFormatPr defaultRowHeight="13.5"/>
  <cols>
    <col min="1" max="1" width="1.85546875" style="1" customWidth="1"/>
    <col min="2" max="2" width="2.42578125" style="1" customWidth="1"/>
    <col min="3" max="3" width="6.140625" style="1" customWidth="1"/>
    <col min="4" max="4" width="8.140625" style="1" customWidth="1"/>
    <col min="5" max="5" width="9.42578125" style="1" customWidth="1"/>
    <col min="6" max="6" width="8.28515625" style="1" customWidth="1"/>
    <col min="7" max="7" width="6.7109375" style="1" customWidth="1"/>
    <col min="8" max="8" width="2" style="1" customWidth="1"/>
    <col min="9" max="9" width="2.28515625" style="1" customWidth="1"/>
    <col min="10" max="10" width="28.28515625" style="1" customWidth="1"/>
    <col min="11" max="11" width="23.140625" style="1" customWidth="1"/>
    <col min="12" max="12" width="8.7109375" style="1" customWidth="1"/>
    <col min="13" max="13" width="8.42578125" style="1" customWidth="1"/>
    <col min="14" max="14" width="8.85546875" style="1" customWidth="1"/>
    <col min="15" max="15" width="1" style="1" customWidth="1"/>
    <col min="16" max="17" width="9.140625" style="1"/>
    <col min="18" max="18" width="12.140625" style="1" customWidth="1"/>
    <col min="19" max="20" width="9.140625" style="1"/>
    <col min="21" max="21" width="10.7109375" style="1" customWidth="1"/>
    <col min="22" max="16384" width="9.140625" style="1"/>
  </cols>
  <sheetData>
    <row r="1" spans="2:21" ht="15.75">
      <c r="B1" s="95" t="s">
        <v>65</v>
      </c>
      <c r="F1" s="2"/>
      <c r="G1" s="3"/>
      <c r="L1" s="1" t="s">
        <v>54</v>
      </c>
      <c r="M1" s="101" t="s">
        <v>66</v>
      </c>
    </row>
    <row r="2" spans="2:21" ht="2.25" customHeight="1" thickBot="1">
      <c r="B2" s="5"/>
      <c r="G2" s="6"/>
    </row>
    <row r="3" spans="2:21">
      <c r="B3" s="180" t="s">
        <v>68</v>
      </c>
      <c r="C3" s="181"/>
      <c r="D3" s="181"/>
      <c r="E3" s="181"/>
      <c r="F3" s="181"/>
      <c r="G3" s="182"/>
      <c r="I3" s="180" t="s">
        <v>3</v>
      </c>
      <c r="J3" s="181"/>
      <c r="K3" s="181"/>
      <c r="L3" s="181"/>
      <c r="M3" s="181"/>
      <c r="N3" s="182"/>
      <c r="P3" s="171" t="s">
        <v>61</v>
      </c>
      <c r="Q3" s="172"/>
      <c r="R3" s="172"/>
      <c r="S3" s="172"/>
      <c r="T3" s="172"/>
      <c r="U3" s="173"/>
    </row>
    <row r="4" spans="2:21" ht="1.5" customHeight="1">
      <c r="B4" s="5"/>
      <c r="G4" s="6"/>
      <c r="I4" s="5"/>
      <c r="N4" s="6"/>
      <c r="P4" s="7"/>
      <c r="Q4" s="4"/>
      <c r="R4" s="4"/>
      <c r="U4" s="6"/>
    </row>
    <row r="5" spans="2:21">
      <c r="B5" s="5" t="s">
        <v>0</v>
      </c>
      <c r="C5" s="1" t="s">
        <v>1</v>
      </c>
      <c r="G5" s="6"/>
      <c r="I5" s="7"/>
      <c r="J5" s="4"/>
      <c r="K5" s="4"/>
      <c r="L5" s="4"/>
      <c r="M5" s="4"/>
      <c r="N5" s="8"/>
      <c r="P5" s="174" t="s">
        <v>117</v>
      </c>
      <c r="Q5" s="175"/>
      <c r="R5" s="175"/>
      <c r="S5" s="175"/>
      <c r="T5" s="175"/>
      <c r="U5" s="176"/>
    </row>
    <row r="6" spans="2:21" ht="1.5" customHeight="1">
      <c r="B6" s="5"/>
      <c r="G6" s="6"/>
      <c r="I6" s="7"/>
      <c r="J6" s="4"/>
      <c r="K6" s="4"/>
      <c r="L6" s="4"/>
      <c r="M6" s="4"/>
      <c r="N6" s="8"/>
      <c r="P6" s="7"/>
      <c r="Q6" s="4"/>
      <c r="R6" s="4"/>
      <c r="U6" s="6"/>
    </row>
    <row r="7" spans="2:21" ht="13.5" customHeight="1">
      <c r="B7" s="5"/>
      <c r="C7" s="1" t="s">
        <v>2</v>
      </c>
      <c r="D7" s="1" t="s">
        <v>1</v>
      </c>
      <c r="E7" s="1" t="s">
        <v>4</v>
      </c>
      <c r="G7" s="6"/>
      <c r="I7" s="7"/>
      <c r="J7" s="4"/>
      <c r="K7" s="4" t="s">
        <v>12</v>
      </c>
      <c r="L7" s="4"/>
      <c r="M7" s="4"/>
      <c r="N7" s="8"/>
      <c r="P7" s="177" t="s">
        <v>55</v>
      </c>
      <c r="Q7" s="178"/>
      <c r="R7" s="178"/>
      <c r="S7" s="178"/>
      <c r="T7" s="178"/>
      <c r="U7" s="179"/>
    </row>
    <row r="8" spans="2:21">
      <c r="B8" s="5"/>
      <c r="C8" s="1">
        <v>1951</v>
      </c>
      <c r="D8" s="101">
        <v>49260</v>
      </c>
      <c r="E8" s="9"/>
      <c r="G8" s="6"/>
      <c r="I8" s="7" t="s">
        <v>0</v>
      </c>
      <c r="J8" s="4" t="s">
        <v>13</v>
      </c>
      <c r="K8" s="10" t="s">
        <v>29</v>
      </c>
      <c r="L8" s="11" t="s">
        <v>121</v>
      </c>
      <c r="M8" s="4"/>
      <c r="N8" s="8"/>
      <c r="P8" s="129"/>
      <c r="Q8" s="130"/>
      <c r="R8" s="130"/>
      <c r="S8" s="130"/>
      <c r="T8" s="130"/>
      <c r="U8" s="131"/>
    </row>
    <row r="9" spans="2:21">
      <c r="B9" s="5"/>
      <c r="C9" s="1">
        <v>1961</v>
      </c>
      <c r="D9" s="101">
        <v>55248</v>
      </c>
      <c r="E9" s="9"/>
      <c r="G9" s="6"/>
      <c r="I9" s="7"/>
      <c r="J9" s="4"/>
      <c r="K9" s="12"/>
      <c r="L9" s="4"/>
      <c r="M9" s="4"/>
      <c r="N9" s="8"/>
      <c r="P9" s="105"/>
      <c r="Q9" s="96" t="s">
        <v>60</v>
      </c>
      <c r="R9" s="130"/>
      <c r="S9" s="106"/>
      <c r="T9" s="96" t="s">
        <v>116</v>
      </c>
      <c r="U9" s="131"/>
    </row>
    <row r="10" spans="2:21">
      <c r="B10" s="5"/>
      <c r="C10" s="1">
        <v>1971</v>
      </c>
      <c r="D10" s="101">
        <v>71266</v>
      </c>
      <c r="E10" s="9"/>
      <c r="G10" s="6"/>
      <c r="I10" s="7"/>
      <c r="J10" s="13" t="s">
        <v>15</v>
      </c>
      <c r="L10" s="4"/>
      <c r="M10" s="4"/>
      <c r="N10" s="8"/>
      <c r="P10" s="129"/>
      <c r="Q10" s="130"/>
      <c r="R10" s="130"/>
      <c r="S10" s="130"/>
      <c r="T10" s="130"/>
      <c r="U10" s="131"/>
    </row>
    <row r="11" spans="2:21">
      <c r="B11" s="5"/>
      <c r="C11" s="1">
        <v>1981</v>
      </c>
      <c r="D11" s="101">
        <v>102837</v>
      </c>
      <c r="E11" s="9"/>
      <c r="G11" s="6"/>
      <c r="I11" s="7"/>
      <c r="J11" s="4" t="s">
        <v>2</v>
      </c>
      <c r="K11" s="14">
        <v>2011</v>
      </c>
      <c r="L11" s="14">
        <v>2021</v>
      </c>
      <c r="M11" s="14">
        <v>2031</v>
      </c>
      <c r="N11" s="15">
        <v>2041</v>
      </c>
      <c r="P11" s="98"/>
      <c r="Q11" s="96" t="s">
        <v>56</v>
      </c>
      <c r="S11" s="107"/>
      <c r="T11" s="96" t="s">
        <v>58</v>
      </c>
      <c r="U11" s="6"/>
    </row>
    <row r="12" spans="2:21">
      <c r="B12" s="5"/>
      <c r="C12" s="1">
        <v>1991</v>
      </c>
      <c r="D12" s="101">
        <v>146262</v>
      </c>
      <c r="E12" s="9"/>
      <c r="G12" s="6"/>
      <c r="I12" s="7"/>
      <c r="J12" s="4" t="s">
        <v>1</v>
      </c>
      <c r="K12" s="102">
        <v>310000</v>
      </c>
      <c r="L12" s="103">
        <v>400000</v>
      </c>
      <c r="M12" s="103">
        <v>500000</v>
      </c>
      <c r="N12" s="104">
        <v>600000</v>
      </c>
      <c r="P12" s="5"/>
      <c r="Q12" s="96" t="s">
        <v>57</v>
      </c>
      <c r="T12" s="96" t="s">
        <v>59</v>
      </c>
      <c r="U12" s="6"/>
    </row>
    <row r="13" spans="2:21">
      <c r="B13" s="5"/>
      <c r="C13" s="1">
        <v>2001</v>
      </c>
      <c r="D13" s="101">
        <v>211893</v>
      </c>
      <c r="E13" s="101">
        <v>31174</v>
      </c>
      <c r="G13" s="6"/>
      <c r="I13" s="7"/>
      <c r="J13" s="4"/>
      <c r="K13" s="4"/>
      <c r="L13" s="4"/>
      <c r="M13" s="4"/>
      <c r="N13" s="8"/>
      <c r="P13" s="99"/>
      <c r="Q13" s="96" t="s">
        <v>64</v>
      </c>
      <c r="U13" s="6"/>
    </row>
    <row r="14" spans="2:21" ht="25.5" customHeight="1">
      <c r="B14" s="5"/>
      <c r="G14" s="6"/>
      <c r="I14" s="7"/>
      <c r="J14" s="165" t="s">
        <v>16</v>
      </c>
      <c r="K14" s="165"/>
      <c r="L14" s="165"/>
      <c r="M14" s="165"/>
      <c r="N14" s="166"/>
      <c r="P14" s="132" t="s">
        <v>118</v>
      </c>
      <c r="R14" s="97"/>
      <c r="U14" s="100"/>
    </row>
    <row r="15" spans="2:21">
      <c r="B15" s="7"/>
      <c r="C15" s="4"/>
      <c r="D15" s="4"/>
      <c r="E15" s="4"/>
      <c r="F15" s="4"/>
      <c r="G15" s="8"/>
      <c r="I15" s="7"/>
      <c r="J15" s="4" t="s">
        <v>17</v>
      </c>
      <c r="K15" s="4" t="s">
        <v>24</v>
      </c>
      <c r="L15" s="4"/>
      <c r="M15" s="4"/>
      <c r="N15" s="8"/>
      <c r="P15" s="5" t="s">
        <v>119</v>
      </c>
      <c r="Q15" s="97"/>
      <c r="R15" s="97"/>
      <c r="S15" s="97"/>
      <c r="T15" s="96"/>
      <c r="U15" s="100"/>
    </row>
    <row r="16" spans="2:21">
      <c r="B16" s="17" t="s">
        <v>5</v>
      </c>
      <c r="C16" s="169" t="s">
        <v>67</v>
      </c>
      <c r="D16" s="169"/>
      <c r="E16" s="169"/>
      <c r="F16" s="169"/>
      <c r="G16" s="18"/>
      <c r="I16" s="7"/>
      <c r="J16" s="1" t="s">
        <v>17</v>
      </c>
      <c r="K16" s="14" t="s">
        <v>18</v>
      </c>
      <c r="L16" s="14" t="s">
        <v>19</v>
      </c>
      <c r="M16" s="150" t="s">
        <v>20</v>
      </c>
      <c r="N16" s="19" t="s">
        <v>21</v>
      </c>
      <c r="P16" s="184" t="s">
        <v>63</v>
      </c>
      <c r="Q16" s="163"/>
      <c r="R16" s="163"/>
      <c r="S16" s="163"/>
      <c r="T16" s="163"/>
      <c r="U16" s="185"/>
    </row>
    <row r="17" spans="2:21">
      <c r="B17" s="17"/>
      <c r="C17" s="135" t="s">
        <v>70</v>
      </c>
      <c r="D17" s="135"/>
      <c r="E17" s="136">
        <v>2010</v>
      </c>
      <c r="F17" s="136">
        <v>275000</v>
      </c>
      <c r="G17" s="144" t="s">
        <v>7</v>
      </c>
      <c r="I17" s="7"/>
      <c r="J17" s="1" t="s">
        <v>22</v>
      </c>
      <c r="K17" s="20">
        <v>0.02</v>
      </c>
      <c r="L17" s="20">
        <v>1.9E-2</v>
      </c>
      <c r="M17" s="20">
        <v>1.7999999999999999E-2</v>
      </c>
      <c r="N17" s="90">
        <v>1.7000000000000001E-2</v>
      </c>
      <c r="P17" s="186" t="s">
        <v>62</v>
      </c>
      <c r="Q17" s="187"/>
      <c r="R17" s="187"/>
      <c r="S17" s="187"/>
      <c r="T17" s="187"/>
      <c r="U17" s="188"/>
    </row>
    <row r="18" spans="2:21">
      <c r="B18" s="17"/>
      <c r="C18" s="128" t="s">
        <v>71</v>
      </c>
      <c r="D18" s="128"/>
      <c r="E18" s="128"/>
      <c r="F18" s="137"/>
      <c r="G18" s="145" t="s">
        <v>8</v>
      </c>
      <c r="I18" s="7"/>
      <c r="J18" s="4"/>
      <c r="K18" s="36"/>
      <c r="L18" s="36"/>
      <c r="M18" s="36"/>
      <c r="N18" s="37"/>
      <c r="P18" s="192" t="s">
        <v>120</v>
      </c>
      <c r="Q18" s="163"/>
      <c r="R18" s="163"/>
      <c r="S18" s="163"/>
      <c r="T18" s="163"/>
      <c r="U18" s="185"/>
    </row>
    <row r="19" spans="2:21" ht="14.25" thickBot="1">
      <c r="B19" s="17"/>
      <c r="C19" s="138" t="s">
        <v>72</v>
      </c>
      <c r="D19" s="139"/>
      <c r="E19" s="138"/>
      <c r="F19" s="126"/>
      <c r="G19" s="146" t="s">
        <v>7</v>
      </c>
      <c r="I19" s="7" t="s">
        <v>5</v>
      </c>
      <c r="J19" s="4" t="s">
        <v>44</v>
      </c>
      <c r="K19" s="36"/>
      <c r="L19" s="36"/>
      <c r="M19" s="36"/>
      <c r="N19" s="37"/>
      <c r="P19" s="189" t="s">
        <v>115</v>
      </c>
      <c r="Q19" s="190"/>
      <c r="R19" s="190"/>
      <c r="S19" s="190"/>
      <c r="T19" s="190"/>
      <c r="U19" s="191"/>
    </row>
    <row r="20" spans="2:21">
      <c r="B20" s="17"/>
      <c r="C20" s="170" t="s">
        <v>74</v>
      </c>
      <c r="D20" s="170"/>
      <c r="E20" s="170"/>
      <c r="F20" s="126"/>
      <c r="G20" s="146" t="s">
        <v>73</v>
      </c>
      <c r="I20" s="7"/>
      <c r="J20" s="4" t="s">
        <v>45</v>
      </c>
      <c r="K20" s="36" t="s">
        <v>2</v>
      </c>
      <c r="M20" s="40">
        <v>2011</v>
      </c>
      <c r="N20" s="37"/>
      <c r="P20" s="97"/>
      <c r="Q20" s="96"/>
      <c r="R20" s="97"/>
    </row>
    <row r="21" spans="2:21" ht="15" customHeight="1">
      <c r="B21" s="17"/>
      <c r="C21" s="162" t="s">
        <v>76</v>
      </c>
      <c r="D21" s="162"/>
      <c r="E21" s="162"/>
      <c r="F21" s="126">
        <v>15</v>
      </c>
      <c r="G21" s="6" t="s">
        <v>9</v>
      </c>
      <c r="I21" s="7"/>
      <c r="J21" s="183" t="s">
        <v>80</v>
      </c>
      <c r="K21" s="167" t="s">
        <v>46</v>
      </c>
      <c r="L21" s="39">
        <v>15</v>
      </c>
      <c r="M21" s="41">
        <f>M20+L21</f>
        <v>2026</v>
      </c>
      <c r="N21" s="8"/>
    </row>
    <row r="22" spans="2:21" ht="13.5" customHeight="1">
      <c r="B22" s="17"/>
      <c r="C22" s="168" t="s">
        <v>77</v>
      </c>
      <c r="D22" s="168"/>
      <c r="E22" s="168"/>
      <c r="F22" s="126">
        <v>1</v>
      </c>
      <c r="G22" s="147"/>
      <c r="I22" s="17"/>
      <c r="J22" s="183"/>
      <c r="K22" s="167"/>
      <c r="L22" s="4"/>
      <c r="M22" s="38"/>
      <c r="N22" s="8"/>
      <c r="P22" s="42"/>
    </row>
    <row r="23" spans="2:21" ht="13.5" customHeight="1">
      <c r="B23" s="17"/>
      <c r="C23" s="168" t="s">
        <v>75</v>
      </c>
      <c r="D23" s="168"/>
      <c r="E23" s="168"/>
      <c r="F23" s="126">
        <v>0</v>
      </c>
      <c r="G23" s="146" t="s">
        <v>8</v>
      </c>
      <c r="I23" s="17" t="s">
        <v>43</v>
      </c>
      <c r="J23" s="169" t="s">
        <v>11</v>
      </c>
      <c r="K23" s="169"/>
      <c r="L23" s="128" t="s">
        <v>32</v>
      </c>
      <c r="M23" s="4"/>
      <c r="N23" s="8"/>
    </row>
    <row r="24" spans="2:21">
      <c r="B24" s="17"/>
      <c r="C24" s="168" t="s">
        <v>78</v>
      </c>
      <c r="D24" s="168"/>
      <c r="E24" s="168"/>
      <c r="F24" s="109">
        <v>0</v>
      </c>
      <c r="G24" s="146" t="s">
        <v>8</v>
      </c>
      <c r="I24" s="17"/>
      <c r="J24" s="169" t="s">
        <v>112</v>
      </c>
      <c r="K24" s="169"/>
      <c r="L24" s="126">
        <v>5500000</v>
      </c>
      <c r="M24" s="4"/>
      <c r="N24" s="153"/>
    </row>
    <row r="25" spans="2:21">
      <c r="B25" s="17"/>
      <c r="C25" s="170" t="s">
        <v>79</v>
      </c>
      <c r="D25" s="170"/>
      <c r="E25" s="170"/>
      <c r="F25" s="126"/>
      <c r="G25" s="146" t="s">
        <v>7</v>
      </c>
      <c r="I25" s="17"/>
      <c r="J25" s="169" t="s">
        <v>122</v>
      </c>
      <c r="K25" s="169"/>
      <c r="L25" s="156">
        <v>25000</v>
      </c>
      <c r="M25" s="4"/>
      <c r="N25" s="153"/>
    </row>
    <row r="26" spans="2:21">
      <c r="B26" s="17"/>
      <c r="C26" s="163" t="s">
        <v>85</v>
      </c>
      <c r="D26" s="163"/>
      <c r="E26" s="163"/>
      <c r="F26" s="141">
        <v>0.8</v>
      </c>
      <c r="G26" s="6"/>
      <c r="I26" s="17"/>
      <c r="J26" s="193" t="s">
        <v>81</v>
      </c>
      <c r="K26" s="193"/>
      <c r="L26" s="127">
        <v>7000000</v>
      </c>
      <c r="M26" s="4"/>
      <c r="N26" s="153"/>
    </row>
    <row r="27" spans="2:21">
      <c r="B27" s="17"/>
      <c r="C27" s="110" t="s">
        <v>93</v>
      </c>
      <c r="D27" s="110"/>
      <c r="E27" s="142" t="s">
        <v>94</v>
      </c>
      <c r="F27" s="143">
        <v>0.2</v>
      </c>
      <c r="G27" s="6" t="s">
        <v>95</v>
      </c>
      <c r="I27" s="17"/>
      <c r="J27" s="163" t="s">
        <v>123</v>
      </c>
      <c r="K27" s="163"/>
      <c r="L27" s="109">
        <v>10000000</v>
      </c>
      <c r="M27" s="4"/>
      <c r="N27" s="153"/>
    </row>
    <row r="28" spans="2:21">
      <c r="B28" s="17"/>
      <c r="C28" s="163" t="s">
        <v>96</v>
      </c>
      <c r="D28" s="163"/>
      <c r="E28" s="163"/>
      <c r="F28" s="140">
        <v>2</v>
      </c>
      <c r="G28" s="146" t="s">
        <v>97</v>
      </c>
      <c r="I28" s="17"/>
      <c r="J28" s="125" t="s">
        <v>124</v>
      </c>
      <c r="K28" s="134"/>
      <c r="L28" s="155">
        <v>125</v>
      </c>
      <c r="M28" s="4"/>
      <c r="N28" s="153"/>
      <c r="P28" s="16"/>
      <c r="Q28" s="16"/>
      <c r="R28" s="16"/>
      <c r="S28" s="16"/>
      <c r="T28" s="16"/>
      <c r="U28" s="16"/>
    </row>
    <row r="29" spans="2:21" ht="14.25" thickBot="1">
      <c r="B29" s="17"/>
      <c r="C29" s="162" t="s">
        <v>100</v>
      </c>
      <c r="D29" s="162"/>
      <c r="E29" s="162"/>
      <c r="F29" s="127">
        <v>5</v>
      </c>
      <c r="G29" s="146" t="s">
        <v>8</v>
      </c>
      <c r="I29" s="161"/>
      <c r="J29" s="157" t="s">
        <v>126</v>
      </c>
      <c r="K29" s="158"/>
      <c r="L29" s="159">
        <v>2000000</v>
      </c>
      <c r="M29" s="158"/>
      <c r="N29" s="160"/>
      <c r="P29" s="16"/>
      <c r="Q29" s="16"/>
      <c r="R29" s="16"/>
      <c r="S29" s="16"/>
      <c r="T29" s="16"/>
      <c r="U29" s="16"/>
    </row>
    <row r="30" spans="2:21">
      <c r="B30" s="17"/>
      <c r="C30" s="163" t="s">
        <v>102</v>
      </c>
      <c r="D30" s="163"/>
      <c r="E30" s="163"/>
      <c r="F30" s="140">
        <v>5000</v>
      </c>
      <c r="G30" s="146" t="s">
        <v>103</v>
      </c>
      <c r="I30" s="128"/>
      <c r="J30" s="110"/>
      <c r="K30" s="4"/>
      <c r="L30" s="154"/>
      <c r="M30" s="4"/>
      <c r="N30" s="154"/>
      <c r="P30" s="16"/>
      <c r="Q30" s="16"/>
      <c r="R30" s="16"/>
      <c r="S30" s="16"/>
      <c r="T30" s="16"/>
      <c r="U30" s="16"/>
    </row>
    <row r="31" spans="2:21">
      <c r="B31" s="17"/>
      <c r="C31" s="163" t="s">
        <v>104</v>
      </c>
      <c r="D31" s="163"/>
      <c r="E31" s="163"/>
      <c r="F31" s="109">
        <v>20</v>
      </c>
      <c r="G31" s="6" t="s">
        <v>35</v>
      </c>
      <c r="I31" s="128"/>
      <c r="J31" s="125"/>
      <c r="K31" s="4"/>
      <c r="L31" s="154"/>
      <c r="M31" s="4"/>
      <c r="N31" s="154"/>
      <c r="P31" s="16"/>
      <c r="Q31" s="16"/>
      <c r="R31" s="16"/>
      <c r="S31" s="16"/>
      <c r="T31" s="16"/>
      <c r="U31" s="16"/>
    </row>
    <row r="32" spans="2:21">
      <c r="B32" s="17"/>
      <c r="C32" s="163" t="s">
        <v>105</v>
      </c>
      <c r="D32" s="163"/>
      <c r="E32" s="163"/>
      <c r="F32" s="109">
        <v>1420</v>
      </c>
      <c r="G32" s="6" t="s">
        <v>53</v>
      </c>
      <c r="I32" s="128"/>
      <c r="J32" s="110"/>
      <c r="K32" s="4"/>
      <c r="L32" s="154"/>
      <c r="M32" s="4"/>
      <c r="N32" s="154"/>
      <c r="P32" s="133"/>
      <c r="Q32" s="110"/>
      <c r="R32" s="110"/>
      <c r="S32" s="110"/>
      <c r="T32" s="110"/>
      <c r="U32" s="110"/>
    </row>
    <row r="33" spans="2:21" ht="14.25" thickBot="1">
      <c r="B33" s="17"/>
      <c r="C33" s="164" t="s">
        <v>106</v>
      </c>
      <c r="D33" s="164"/>
      <c r="E33" s="164"/>
      <c r="F33" s="148">
        <v>4650</v>
      </c>
      <c r="G33" s="149" t="s">
        <v>53</v>
      </c>
      <c r="I33" s="4"/>
      <c r="M33" s="4"/>
      <c r="N33" s="154"/>
      <c r="P33" s="110"/>
      <c r="Q33" s="110"/>
      <c r="R33" s="110"/>
      <c r="S33" s="110"/>
      <c r="T33" s="110"/>
      <c r="U33" s="110"/>
    </row>
    <row r="36" spans="2:21" ht="15" customHeight="1"/>
    <row r="37" spans="2:21" ht="27.75" customHeight="1"/>
    <row r="45" spans="2:21">
      <c r="C45" s="163"/>
      <c r="D45" s="163"/>
      <c r="E45" s="163"/>
    </row>
    <row r="46" spans="2:21">
      <c r="C46" s="162"/>
      <c r="D46" s="162"/>
      <c r="E46" s="162"/>
    </row>
  </sheetData>
  <sheetProtection selectLockedCells="1"/>
  <mergeCells count="33">
    <mergeCell ref="P16:U16"/>
    <mergeCell ref="P17:U17"/>
    <mergeCell ref="J27:K27"/>
    <mergeCell ref="P19:U19"/>
    <mergeCell ref="J23:K23"/>
    <mergeCell ref="P18:U18"/>
    <mergeCell ref="J25:K25"/>
    <mergeCell ref="J26:K26"/>
    <mergeCell ref="P3:U3"/>
    <mergeCell ref="P5:U5"/>
    <mergeCell ref="P7:U7"/>
    <mergeCell ref="B3:G3"/>
    <mergeCell ref="I3:N3"/>
    <mergeCell ref="C26:E26"/>
    <mergeCell ref="C28:E28"/>
    <mergeCell ref="J14:N14"/>
    <mergeCell ref="K21:K22"/>
    <mergeCell ref="C45:E45"/>
    <mergeCell ref="C23:E23"/>
    <mergeCell ref="J24:K24"/>
    <mergeCell ref="C25:E25"/>
    <mergeCell ref="C21:E21"/>
    <mergeCell ref="C16:F16"/>
    <mergeCell ref="C20:E20"/>
    <mergeCell ref="J21:J22"/>
    <mergeCell ref="C24:E24"/>
    <mergeCell ref="C22:E22"/>
    <mergeCell ref="C46:E46"/>
    <mergeCell ref="C31:E31"/>
    <mergeCell ref="C32:E32"/>
    <mergeCell ref="C33:E33"/>
    <mergeCell ref="C29:E29"/>
    <mergeCell ref="C30:E30"/>
  </mergeCells>
  <conditionalFormatting sqref="K8 L21">
    <cfRule type="expression" dxfId="20" priority="8" stopIfTrue="1">
      <formula>"""Y"""</formula>
    </cfRule>
    <cfRule type="expression" dxfId="19" priority="9" stopIfTrue="1">
      <formula>"""N"""</formula>
    </cfRule>
  </conditionalFormatting>
  <conditionalFormatting sqref="K8 L21">
    <cfRule type="containsText" dxfId="18" priority="7" operator="containsText" text="Y">
      <formula>NOT(ISERROR(SEARCH("Y",K8)))</formula>
    </cfRule>
  </conditionalFormatting>
  <dataValidations count="2">
    <dataValidation type="list" allowBlank="1" showInputMessage="1" showErrorMessage="1" sqref="K8">
      <formula1>"Arithmetic Growth Method (AM), Incremental Increase (IM), Geometric Growth Method (GM), Average of AM_IM_GM, Available Projected Data, Growth Rate based Projection"</formula1>
    </dataValidation>
    <dataValidation type="list" allowBlank="1" showInputMessage="1" showErrorMessage="1" sqref="L21">
      <formula1>"15, 30"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29"/>
  <sheetViews>
    <sheetView topLeftCell="A10" workbookViewId="0">
      <selection activeCell="E34" sqref="E34"/>
    </sheetView>
  </sheetViews>
  <sheetFormatPr defaultRowHeight="12.75"/>
  <cols>
    <col min="1" max="1" width="9.140625" style="53"/>
    <col min="2" max="2" width="9.5703125" style="53" customWidth="1"/>
    <col min="3" max="3" width="11.140625" style="53" customWidth="1"/>
    <col min="4" max="4" width="12.85546875" style="53" customWidth="1"/>
    <col min="5" max="5" width="14.28515625" style="53" customWidth="1"/>
    <col min="6" max="6" width="11.28515625" style="53" customWidth="1"/>
    <col min="7" max="7" width="8.7109375" style="53" customWidth="1"/>
    <col min="8" max="16384" width="9.140625" style="53"/>
  </cols>
  <sheetData>
    <row r="2" spans="2:5">
      <c r="B2" s="80" t="s">
        <v>51</v>
      </c>
    </row>
    <row r="3" spans="2:5" ht="3" customHeight="1"/>
    <row r="4" spans="2:5">
      <c r="B4" s="81" t="s">
        <v>2</v>
      </c>
      <c r="C4" s="82" t="s">
        <v>1</v>
      </c>
      <c r="D4" s="83" t="s">
        <v>69</v>
      </c>
      <c r="E4" s="122"/>
    </row>
    <row r="5" spans="2:5">
      <c r="B5" s="84"/>
      <c r="C5" s="85"/>
      <c r="D5" s="86" t="s">
        <v>8</v>
      </c>
      <c r="E5" s="123"/>
    </row>
    <row r="6" spans="2:5">
      <c r="B6" s="67">
        <f>'Waste Generation_STP'!A6</f>
        <v>2011</v>
      </c>
      <c r="C6" s="71">
        <f>'Waste Generation_STP'!B6</f>
        <v>285016.54307375319</v>
      </c>
      <c r="D6" s="87">
        <f>'Waste Generation_STP'!H6</f>
        <v>35.781786651965348</v>
      </c>
      <c r="E6" s="124"/>
    </row>
    <row r="7" spans="2:5">
      <c r="B7" s="67">
        <f>'Waste Generation_STP'!A7</f>
        <v>2016</v>
      </c>
      <c r="C7" s="71">
        <f>'Waste Generation_STP'!B7</f>
        <v>330557.33424758981</v>
      </c>
      <c r="D7" s="87">
        <f>'Waste Generation_STP'!H7</f>
        <v>40.700192098739699</v>
      </c>
      <c r="E7" s="124"/>
    </row>
    <row r="8" spans="2:5">
      <c r="B8" s="67">
        <f>'Waste Generation_STP'!A8</f>
        <v>2021</v>
      </c>
      <c r="C8" s="71">
        <f>'Waste Generation_STP'!B8</f>
        <v>383374.76851860422</v>
      </c>
      <c r="D8" s="87">
        <f>'Waste Generation_STP'!H8</f>
        <v>46.404475000009256</v>
      </c>
      <c r="E8" s="124"/>
    </row>
    <row r="9" spans="2:5">
      <c r="B9" s="67">
        <f>'Waste Generation_STP'!A9</f>
        <v>2026</v>
      </c>
      <c r="C9" s="71">
        <f>'Waste Generation_STP'!B9</f>
        <v>444631.52956880693</v>
      </c>
      <c r="D9" s="87">
        <f>'Waste Generation_STP'!H9</f>
        <v>53.020205193431153</v>
      </c>
      <c r="E9" s="124"/>
    </row>
    <row r="10" spans="2:5">
      <c r="B10" s="67">
        <f>'Waste Generation_STP'!A10</f>
        <v>2031</v>
      </c>
      <c r="C10" s="71">
        <f>'Waste Generation_STP'!B10</f>
        <v>515676.07813789468</v>
      </c>
      <c r="D10" s="87">
        <f>'Waste Generation_STP'!H10</f>
        <v>60.693016438892634</v>
      </c>
      <c r="E10" s="124"/>
    </row>
    <row r="11" spans="2:5">
      <c r="B11" s="67">
        <f>'Waste Generation_STP'!A11</f>
        <v>2036</v>
      </c>
      <c r="C11" s="71">
        <f>'Waste Generation_STP'!B11</f>
        <v>598072.33603420889</v>
      </c>
      <c r="D11" s="87">
        <f>'Waste Generation_STP'!H11</f>
        <v>69.591812291694552</v>
      </c>
      <c r="E11" s="124"/>
    </row>
    <row r="12" spans="2:5">
      <c r="B12" s="68">
        <f>'Waste Generation_STP'!A12</f>
        <v>2041</v>
      </c>
      <c r="C12" s="72">
        <f>'Waste Generation_STP'!B12</f>
        <v>693634.11314528261</v>
      </c>
      <c r="D12" s="88">
        <f>'Waste Generation_STP'!H12</f>
        <v>79.912484219690526</v>
      </c>
      <c r="E12" s="124"/>
    </row>
    <row r="15" spans="2:5">
      <c r="B15" s="80" t="s">
        <v>113</v>
      </c>
    </row>
    <row r="16" spans="2:5" ht="2.25" customHeight="1"/>
    <row r="17" spans="2:7">
      <c r="B17" s="92"/>
      <c r="C17" s="93"/>
      <c r="D17" s="93"/>
      <c r="E17" s="94"/>
      <c r="F17" s="82"/>
      <c r="G17" s="83"/>
    </row>
    <row r="18" spans="2:7">
      <c r="B18" s="63" t="s">
        <v>89</v>
      </c>
      <c r="C18" s="64"/>
      <c r="D18" s="64"/>
      <c r="E18" s="64"/>
      <c r="F18" s="59" t="s">
        <v>8</v>
      </c>
      <c r="G18" s="65">
        <f>'Waste Generation_STP'!H17</f>
        <v>79.912484219690526</v>
      </c>
    </row>
    <row r="19" spans="2:7">
      <c r="B19" s="63" t="s">
        <v>91</v>
      </c>
      <c r="C19" s="64"/>
      <c r="D19" s="64"/>
      <c r="E19" s="64"/>
      <c r="F19" s="59" t="s">
        <v>8</v>
      </c>
      <c r="G19" s="65">
        <f>'Waste Generation_STP'!H18</f>
        <v>0</v>
      </c>
    </row>
    <row r="20" spans="2:7">
      <c r="B20" s="63" t="s">
        <v>92</v>
      </c>
      <c r="C20" s="64"/>
      <c r="D20" s="64"/>
      <c r="E20" s="64"/>
      <c r="F20" s="59" t="s">
        <v>8</v>
      </c>
      <c r="G20" s="65">
        <f>G18-G19</f>
        <v>79.912484219690526</v>
      </c>
    </row>
    <row r="21" spans="2:7">
      <c r="B21" s="63" t="s">
        <v>90</v>
      </c>
      <c r="C21" s="64"/>
      <c r="D21" s="64"/>
      <c r="E21" s="64"/>
      <c r="F21" s="59" t="s">
        <v>53</v>
      </c>
      <c r="G21" s="65">
        <f>'Waste Generation_STP'!H20</f>
        <v>15.982496843938106</v>
      </c>
    </row>
    <row r="22" spans="2:7">
      <c r="B22" s="111" t="s">
        <v>101</v>
      </c>
      <c r="C22" s="112"/>
      <c r="D22" s="112"/>
      <c r="E22" s="112"/>
      <c r="F22" s="113" t="s">
        <v>98</v>
      </c>
      <c r="G22" s="114">
        <f>'Waste Generation_STP'!H21</f>
        <v>2</v>
      </c>
    </row>
    <row r="23" spans="2:7">
      <c r="B23" s="117" t="s">
        <v>99</v>
      </c>
      <c r="C23" s="115"/>
      <c r="D23" s="115"/>
      <c r="E23" s="115"/>
      <c r="F23" s="116" t="s">
        <v>8</v>
      </c>
      <c r="G23" s="119">
        <f>G20/G22</f>
        <v>39.956242109845263</v>
      </c>
    </row>
    <row r="24" spans="2:7">
      <c r="B24" s="120" t="s">
        <v>114</v>
      </c>
      <c r="C24" s="118"/>
      <c r="D24" s="118"/>
      <c r="E24" s="118"/>
      <c r="F24" s="118" t="s">
        <v>8</v>
      </c>
      <c r="G24" s="121">
        <f>G20-G23</f>
        <v>39.956242109845263</v>
      </c>
    </row>
    <row r="25" spans="2:7">
      <c r="B25" s="116"/>
      <c r="C25" s="116"/>
      <c r="D25" s="116"/>
      <c r="E25" s="116"/>
      <c r="F25" s="116"/>
      <c r="G25" s="116"/>
    </row>
    <row r="26" spans="2:7">
      <c r="B26" s="80" t="s">
        <v>128</v>
      </c>
    </row>
    <row r="27" spans="2:7" ht="2.25" customHeight="1"/>
    <row r="28" spans="2:7" ht="2.25" customHeight="1"/>
    <row r="29" spans="2:7">
      <c r="B29" s="53" t="s">
        <v>127</v>
      </c>
      <c r="F29" s="53" t="s">
        <v>9</v>
      </c>
      <c r="G29" s="151">
        <f>Estimate!D5</f>
        <v>566.25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K32"/>
  <sheetViews>
    <sheetView workbookViewId="0">
      <selection activeCell="J12" sqref="J12"/>
    </sheetView>
  </sheetViews>
  <sheetFormatPr defaultRowHeight="13.5"/>
  <cols>
    <col min="1" max="1" width="9.140625" style="22"/>
    <col min="2" max="2" width="10.7109375" style="22" customWidth="1"/>
    <col min="3" max="3" width="11.85546875" style="22" customWidth="1"/>
    <col min="4" max="4" width="10.7109375" style="22" customWidth="1"/>
    <col min="5" max="5" width="10.85546875" style="22" customWidth="1"/>
    <col min="6" max="7" width="9.140625" style="22"/>
    <col min="8" max="8" width="9.42578125" style="22" bestFit="1" customWidth="1"/>
    <col min="9" max="16384" width="9.140625" style="22"/>
  </cols>
  <sheetData>
    <row r="1" spans="1:6">
      <c r="A1" s="21" t="s">
        <v>23</v>
      </c>
    </row>
    <row r="3" spans="1:6" s="32" customFormat="1" ht="27">
      <c r="A3" s="32" t="s">
        <v>2</v>
      </c>
      <c r="B3" s="32" t="s">
        <v>1</v>
      </c>
      <c r="C3" s="43" t="s">
        <v>24</v>
      </c>
      <c r="D3" s="43" t="s">
        <v>25</v>
      </c>
      <c r="E3" s="32" t="s">
        <v>4</v>
      </c>
      <c r="F3" s="32" t="s">
        <v>26</v>
      </c>
    </row>
    <row r="4" spans="1:6">
      <c r="A4" s="23">
        <v>1951</v>
      </c>
      <c r="B4" s="24">
        <f>'INPUT DATA'!D8</f>
        <v>49260</v>
      </c>
    </row>
    <row r="5" spans="1:6">
      <c r="A5" s="23">
        <v>1961</v>
      </c>
      <c r="B5" s="24">
        <f>'INPUT DATA'!D9</f>
        <v>55248</v>
      </c>
      <c r="C5" s="25">
        <f>((B5/B4)-1)</f>
        <v>0.12155907429963464</v>
      </c>
      <c r="D5" s="25">
        <f>(((B5/B4)^(1/10))-1)</f>
        <v>1.1538030252225218E-2</v>
      </c>
      <c r="F5" s="26"/>
    </row>
    <row r="6" spans="1:6">
      <c r="A6" s="23">
        <v>1971</v>
      </c>
      <c r="B6" s="24">
        <f>'INPUT DATA'!D10</f>
        <v>71266</v>
      </c>
      <c r="C6" s="25">
        <f t="shared" ref="C6:C9" si="0">((B6/B5)-1)</f>
        <v>0.28992904720532864</v>
      </c>
      <c r="D6" s="25">
        <f>(((B6/B5)^(1/10))-1)</f>
        <v>2.5785562475826751E-2</v>
      </c>
    </row>
    <row r="7" spans="1:6">
      <c r="A7" s="23">
        <v>1981</v>
      </c>
      <c r="B7" s="24">
        <f>'INPUT DATA'!D11</f>
        <v>102837</v>
      </c>
      <c r="C7" s="25">
        <f t="shared" si="0"/>
        <v>0.44300227317374352</v>
      </c>
      <c r="D7" s="25">
        <f t="shared" ref="D7:D9" si="1">(((B7/B6)^(1/10))-1)</f>
        <v>3.7353320721520422E-2</v>
      </c>
    </row>
    <row r="8" spans="1:6">
      <c r="A8" s="23">
        <v>1991</v>
      </c>
      <c r="B8" s="24">
        <f>'INPUT DATA'!D12</f>
        <v>146262</v>
      </c>
      <c r="C8" s="25">
        <f t="shared" si="0"/>
        <v>0.42227019457977177</v>
      </c>
      <c r="D8" s="25">
        <f t="shared" si="1"/>
        <v>3.5853197309968055E-2</v>
      </c>
    </row>
    <row r="9" spans="1:6">
      <c r="A9" s="23">
        <v>2001</v>
      </c>
      <c r="B9" s="24">
        <f>'INPUT DATA'!D13</f>
        <v>211893</v>
      </c>
      <c r="C9" s="25">
        <f t="shared" si="0"/>
        <v>0.44872215613077904</v>
      </c>
      <c r="D9" s="25">
        <f t="shared" si="1"/>
        <v>3.7763783148754504E-2</v>
      </c>
      <c r="E9" s="27">
        <f>'INPUT DATA'!E13</f>
        <v>31174</v>
      </c>
      <c r="F9" s="28">
        <f>B9/E9</f>
        <v>6.7971065631616092</v>
      </c>
    </row>
    <row r="10" spans="1:6">
      <c r="A10" s="23">
        <v>2011</v>
      </c>
      <c r="B10" s="29">
        <f>B28</f>
        <v>285016.54307375319</v>
      </c>
      <c r="C10" s="30">
        <f>((B10/B9)-1)</f>
        <v>0.34509654907785148</v>
      </c>
      <c r="D10" s="30">
        <f>(((B10/B9)^(1/10))-1)</f>
        <v>3.0090414459697623E-2</v>
      </c>
      <c r="E10" s="27">
        <f>B10/F10</f>
        <v>41932.039820952945</v>
      </c>
      <c r="F10" s="31">
        <f t="shared" ref="F10:F16" si="2">F9</f>
        <v>6.7971065631616092</v>
      </c>
    </row>
    <row r="11" spans="1:6">
      <c r="A11" s="23">
        <f>A10+5</f>
        <v>2016</v>
      </c>
      <c r="B11" s="29">
        <f>B10*((1+D12)^(A11-A10))</f>
        <v>330557.33424758981</v>
      </c>
      <c r="C11" s="30">
        <f>C12</f>
        <v>0.34509654907785148</v>
      </c>
      <c r="D11" s="30">
        <f>D12</f>
        <v>3.0090414459697623E-2</v>
      </c>
      <c r="E11" s="27">
        <f t="shared" ref="E11:E16" si="3">B11/F11</f>
        <v>48632.065890965554</v>
      </c>
      <c r="F11" s="31">
        <f t="shared" si="2"/>
        <v>6.7971065631616092</v>
      </c>
    </row>
    <row r="12" spans="1:6">
      <c r="A12" s="23">
        <v>2021</v>
      </c>
      <c r="B12" s="29">
        <f>B29</f>
        <v>383374.76851860422</v>
      </c>
      <c r="C12" s="30">
        <f>((B12/B10)-1)</f>
        <v>0.34509654907785148</v>
      </c>
      <c r="D12" s="30">
        <f>(((B12/B10)^(1/10))-1)</f>
        <v>3.0090414459697623E-2</v>
      </c>
      <c r="E12" s="27">
        <f t="shared" si="3"/>
        <v>56402.642058958852</v>
      </c>
      <c r="F12" s="31">
        <f t="shared" si="2"/>
        <v>6.7971065631616092</v>
      </c>
    </row>
    <row r="13" spans="1:6">
      <c r="A13" s="23">
        <f>A12+5</f>
        <v>2026</v>
      </c>
      <c r="B13" s="29">
        <f>B12*((1+D14)^(A13-A12))</f>
        <v>444631.52956880693</v>
      </c>
      <c r="C13" s="30">
        <f>C14</f>
        <v>0.34509654907785148</v>
      </c>
      <c r="D13" s="30">
        <f>D14</f>
        <v>3.0090414459697623E-2</v>
      </c>
      <c r="E13" s="27">
        <f t="shared" si="3"/>
        <v>65414.824004464455</v>
      </c>
      <c r="F13" s="31">
        <f t="shared" si="2"/>
        <v>6.7971065631616092</v>
      </c>
    </row>
    <row r="14" spans="1:6">
      <c r="A14" s="23">
        <v>2031</v>
      </c>
      <c r="B14" s="29">
        <f>B30</f>
        <v>515676.07813789468</v>
      </c>
      <c r="C14" s="30">
        <f>((B14/B12)-1)</f>
        <v>0.34509654907785148</v>
      </c>
      <c r="D14" s="30">
        <f>(((B14/B12)^(1/10))-1)</f>
        <v>3.0090414459697623E-2</v>
      </c>
      <c r="E14" s="27">
        <f t="shared" si="3"/>
        <v>75866.999192378833</v>
      </c>
      <c r="F14" s="31">
        <f t="shared" si="2"/>
        <v>6.7971065631616092</v>
      </c>
    </row>
    <row r="15" spans="1:6">
      <c r="A15" s="23">
        <f>A14+5</f>
        <v>2036</v>
      </c>
      <c r="B15" s="29">
        <f>B14*((1+D16)^(A15-A14))</f>
        <v>598072.33603420889</v>
      </c>
      <c r="C15" s="30">
        <f>C16</f>
        <v>0.34509654907785148</v>
      </c>
      <c r="D15" s="30">
        <f>D16</f>
        <v>3.0090414459697623E-2</v>
      </c>
      <c r="E15" s="27">
        <f t="shared" si="3"/>
        <v>87989.254026940136</v>
      </c>
      <c r="F15" s="31">
        <f t="shared" si="2"/>
        <v>6.7971065631616092</v>
      </c>
    </row>
    <row r="16" spans="1:6">
      <c r="A16" s="23">
        <v>2041</v>
      </c>
      <c r="B16" s="29">
        <f t="shared" ref="B16" si="4">B31</f>
        <v>693634.11314528261</v>
      </c>
      <c r="C16" s="30">
        <f>((B16/B14)-1)</f>
        <v>0.34509654907785148</v>
      </c>
      <c r="D16" s="30">
        <f>(((B16/B14)^(1/10))-1)</f>
        <v>3.0090414459697623E-2</v>
      </c>
      <c r="E16" s="27">
        <f t="shared" si="3"/>
        <v>102048.43880256091</v>
      </c>
      <c r="F16" s="31">
        <f t="shared" si="2"/>
        <v>6.7971065631616092</v>
      </c>
    </row>
    <row r="18" spans="1:11">
      <c r="A18" s="22" t="s">
        <v>10</v>
      </c>
    </row>
    <row r="19" spans="1:11" s="32" customFormat="1" ht="39.75" customHeight="1">
      <c r="C19" s="33" t="s">
        <v>27</v>
      </c>
      <c r="D19" s="33" t="s">
        <v>28</v>
      </c>
      <c r="E19" s="33" t="s">
        <v>29</v>
      </c>
      <c r="F19" s="33" t="s">
        <v>30</v>
      </c>
      <c r="G19" s="33" t="s">
        <v>14</v>
      </c>
      <c r="H19" s="33" t="s">
        <v>31</v>
      </c>
      <c r="I19" s="43" t="s">
        <v>52</v>
      </c>
    </row>
    <row r="20" spans="1:11">
      <c r="A20" s="22" t="s">
        <v>2</v>
      </c>
      <c r="B20" s="22" t="s">
        <v>1</v>
      </c>
    </row>
    <row r="21" spans="1:11">
      <c r="A21" s="23">
        <f t="shared" ref="A21:B26" si="5">A4</f>
        <v>1951</v>
      </c>
      <c r="B21" s="34">
        <f t="shared" si="5"/>
        <v>49260</v>
      </c>
      <c r="C21" s="23"/>
      <c r="D21" s="23"/>
      <c r="E21" s="23"/>
      <c r="F21" s="23"/>
    </row>
    <row r="22" spans="1:11">
      <c r="A22" s="23">
        <f t="shared" si="5"/>
        <v>1961</v>
      </c>
      <c r="B22" s="34">
        <f t="shared" si="5"/>
        <v>55248</v>
      </c>
      <c r="C22" s="44">
        <f>IF(B21=0, "-", B22-B21)</f>
        <v>5988</v>
      </c>
      <c r="D22" s="44"/>
      <c r="E22" s="45">
        <f>IF(B21=0, "-", ((B22/B21)-1))</f>
        <v>0.12155907429963464</v>
      </c>
      <c r="F22" s="46"/>
      <c r="G22" s="47"/>
      <c r="H22" s="47"/>
      <c r="I22" s="47"/>
    </row>
    <row r="23" spans="1:11">
      <c r="A23" s="23">
        <f t="shared" si="5"/>
        <v>1971</v>
      </c>
      <c r="B23" s="34">
        <f t="shared" si="5"/>
        <v>71266</v>
      </c>
      <c r="C23" s="44">
        <f>IF(B22=0, "-", B23-B22)</f>
        <v>16018</v>
      </c>
      <c r="D23" s="44">
        <f>(IF(C22="-", "-", C23-C22))</f>
        <v>10030</v>
      </c>
      <c r="E23" s="45">
        <f>IF(B22=0, "-", ((B23/B22)-1))</f>
        <v>0.28992904720532864</v>
      </c>
      <c r="F23" s="46"/>
      <c r="G23" s="47"/>
      <c r="H23" s="47"/>
      <c r="I23" s="47"/>
    </row>
    <row r="24" spans="1:11">
      <c r="A24" s="23">
        <f t="shared" si="5"/>
        <v>1981</v>
      </c>
      <c r="B24" s="34">
        <f t="shared" si="5"/>
        <v>102837</v>
      </c>
      <c r="C24" s="44">
        <f>IF(B23=0, "-", B24-B23)</f>
        <v>31571</v>
      </c>
      <c r="D24" s="44">
        <f>(IF(C23="-", "-", C24-C23))</f>
        <v>15553</v>
      </c>
      <c r="E24" s="45">
        <f>IF(B23=0, "-", ((B24/B23)-1))</f>
        <v>0.44300227317374352</v>
      </c>
      <c r="F24" s="46"/>
      <c r="G24" s="47"/>
      <c r="H24" s="47"/>
      <c r="I24" s="47"/>
    </row>
    <row r="25" spans="1:11">
      <c r="A25" s="23">
        <f t="shared" si="5"/>
        <v>1991</v>
      </c>
      <c r="B25" s="34">
        <f t="shared" si="5"/>
        <v>146262</v>
      </c>
      <c r="C25" s="44">
        <f>IF(B24=0, "-", B25-B24)</f>
        <v>43425</v>
      </c>
      <c r="D25" s="44">
        <f>(IF(C24="-", "-", C25-C24))</f>
        <v>11854</v>
      </c>
      <c r="E25" s="45">
        <f>IF(B24=0, "-", ((B25/B24)-1))</f>
        <v>0.42227019457977177</v>
      </c>
      <c r="F25" s="46"/>
      <c r="G25" s="47"/>
      <c r="H25" s="47"/>
      <c r="I25" s="47"/>
    </row>
    <row r="26" spans="1:11">
      <c r="A26" s="23">
        <f t="shared" si="5"/>
        <v>2001</v>
      </c>
      <c r="B26" s="34">
        <f t="shared" si="5"/>
        <v>211893</v>
      </c>
      <c r="C26" s="44">
        <f>IF(B25=0, "-", B26-B25)</f>
        <v>65631</v>
      </c>
      <c r="D26" s="44">
        <f>(IF(C25="-", "-", C26-C25))</f>
        <v>22206</v>
      </c>
      <c r="E26" s="45">
        <f>IF(B25=0, "-", ((B26/B25)-1))</f>
        <v>0.44872215613077904</v>
      </c>
      <c r="F26" s="46"/>
      <c r="G26" s="47"/>
      <c r="H26" s="47"/>
      <c r="I26" s="47"/>
    </row>
    <row r="27" spans="1:11">
      <c r="A27" s="23"/>
      <c r="B27" s="23"/>
      <c r="C27" s="48">
        <f>AVERAGE(C21:C26)</f>
        <v>32526.6</v>
      </c>
      <c r="D27" s="48">
        <f>AVERAGE(D21:D26)</f>
        <v>14910.75</v>
      </c>
      <c r="E27" s="49">
        <f>AVERAGE(E21:E26)</f>
        <v>0.34509654907785153</v>
      </c>
      <c r="F27" s="46"/>
      <c r="G27" s="47"/>
      <c r="H27" s="47"/>
      <c r="I27" s="47"/>
    </row>
    <row r="28" spans="1:11">
      <c r="A28" s="23">
        <v>2011</v>
      </c>
      <c r="B28" s="34">
        <f>IF($C$32=TRUE,C28,IF($D$32=TRUE,D28,IF($E$32=TRUE,E28,IF($F$32=TRUE,F28,IF($G$32=TRUE,G28,IF($H$32=TRUE,H28))))))</f>
        <v>285016.54307375319</v>
      </c>
      <c r="C28" s="50">
        <f>B26+C27</f>
        <v>244419.6</v>
      </c>
      <c r="D28" s="51">
        <f>B26+1*$C$27+(1*(1+1)*$D$27)/2</f>
        <v>259330.35</v>
      </c>
      <c r="E28" s="52">
        <f>B26*(1+E27)</f>
        <v>285016.54307375319</v>
      </c>
      <c r="F28" s="44">
        <f>AVERAGE(C28:E28)</f>
        <v>262922.16435791773</v>
      </c>
      <c r="G28" s="44">
        <f>'INPUT DATA'!K12</f>
        <v>310000</v>
      </c>
      <c r="H28" s="52">
        <f>B9*(1+I28)^10</f>
        <v>258296.38463594907</v>
      </c>
      <c r="I28" s="89">
        <f>'INPUT DATA'!K17</f>
        <v>0.02</v>
      </c>
      <c r="K28" s="108"/>
    </row>
    <row r="29" spans="1:11">
      <c r="A29" s="23">
        <v>2021</v>
      </c>
      <c r="B29" s="34">
        <f t="shared" ref="B29:B31" si="6">IF($C$32=TRUE,C29,IF($D$32=TRUE,D29,IF($E$32=TRUE,E29,IF($F$32=TRUE,F29,IF($G$32=TRUE,G29,IF($H$32=TRUE,H29))))))</f>
        <v>383374.76851860422</v>
      </c>
      <c r="C29" s="50">
        <f>C28+$C$27</f>
        <v>276946.2</v>
      </c>
      <c r="D29" s="51">
        <f>C28+1*$C$27+(1*(1+1)*$D$27)/2</f>
        <v>291856.95</v>
      </c>
      <c r="E29" s="52">
        <f>E28*(1+$E$27)</f>
        <v>383374.76851860422</v>
      </c>
      <c r="F29" s="44">
        <f>AVERAGE(C29:E29)</f>
        <v>317392.63950620143</v>
      </c>
      <c r="G29" s="44">
        <f>'INPUT DATA'!L12</f>
        <v>400000</v>
      </c>
      <c r="H29" s="52">
        <f>G28*(1+I29)^10</f>
        <v>374199.78522613051</v>
      </c>
      <c r="I29" s="89">
        <f>'INPUT DATA'!L17</f>
        <v>1.9E-2</v>
      </c>
    </row>
    <row r="30" spans="1:11">
      <c r="A30" s="23">
        <v>2031</v>
      </c>
      <c r="B30" s="34">
        <f t="shared" si="6"/>
        <v>515676.07813789468</v>
      </c>
      <c r="C30" s="50">
        <f>C29+$C$27</f>
        <v>309472.8</v>
      </c>
      <c r="D30" s="51">
        <f>C29+1*$C$27+(1*(1+1)*$D$27)/2</f>
        <v>324383.55</v>
      </c>
      <c r="E30" s="52">
        <f>E29*(1+$E$27)</f>
        <v>515676.07813789468</v>
      </c>
      <c r="F30" s="44">
        <f>AVERAGE(C30:E30)</f>
        <v>383177.47604596493</v>
      </c>
      <c r="G30" s="44">
        <f>'INPUT DATA'!M12</f>
        <v>500000</v>
      </c>
      <c r="H30" s="52">
        <f t="shared" ref="H30:H31" si="7">G29*(1+I30)^10</f>
        <v>478120.947339067</v>
      </c>
      <c r="I30" s="89">
        <f>'INPUT DATA'!M17</f>
        <v>1.7999999999999999E-2</v>
      </c>
    </row>
    <row r="31" spans="1:11">
      <c r="A31" s="23">
        <v>2041</v>
      </c>
      <c r="B31" s="34">
        <f t="shared" si="6"/>
        <v>693634.11314528261</v>
      </c>
      <c r="C31" s="50">
        <f>C30+$C$27</f>
        <v>341999.39999999997</v>
      </c>
      <c r="D31" s="51">
        <f>C30+1*$C$27+(1*(1+1)*$D$27)/2</f>
        <v>356910.14999999997</v>
      </c>
      <c r="E31" s="52">
        <f>E30*(1+$E$27)</f>
        <v>693634.11314528261</v>
      </c>
      <c r="F31" s="44">
        <f>AVERAGE(C31:E31)</f>
        <v>464181.22104842751</v>
      </c>
      <c r="G31" s="44">
        <f>'INPUT DATA'!N12</f>
        <v>600000</v>
      </c>
      <c r="H31" s="52">
        <f t="shared" si="7"/>
        <v>591806.23116620409</v>
      </c>
      <c r="I31" s="89">
        <f>'INPUT DATA'!N17</f>
        <v>1.7000000000000001E-2</v>
      </c>
    </row>
    <row r="32" spans="1:11">
      <c r="C32" s="35" t="b">
        <f>EXACT(C19,'INPUT DATA'!$K$8)</f>
        <v>0</v>
      </c>
      <c r="D32" s="35" t="b">
        <f>EXACT(D19,'INPUT DATA'!$K$8)</f>
        <v>0</v>
      </c>
      <c r="E32" s="35" t="b">
        <f>EXACT(E19,'INPUT DATA'!$K$8)</f>
        <v>1</v>
      </c>
      <c r="F32" s="35" t="b">
        <f>EXACT(F19,'INPUT DATA'!$K$8)</f>
        <v>0</v>
      </c>
      <c r="G32" s="35" t="b">
        <f>EXACT(G19,'INPUT DATA'!$K$8)</f>
        <v>0</v>
      </c>
      <c r="H32" s="35" t="b">
        <f>EXACT(H19,'INPUT DATA'!$K$8)</f>
        <v>0</v>
      </c>
      <c r="I32" s="25"/>
    </row>
  </sheetData>
  <conditionalFormatting sqref="C32:H32">
    <cfRule type="expression" dxfId="17" priority="17" stopIfTrue="1">
      <formula>"""Y"""</formula>
    </cfRule>
    <cfRule type="expression" dxfId="16" priority="18" stopIfTrue="1">
      <formula>"""N"""</formula>
    </cfRule>
  </conditionalFormatting>
  <conditionalFormatting sqref="C32:H32">
    <cfRule type="containsText" dxfId="15" priority="16" operator="containsText" text="Y">
      <formula>NOT(ISERROR(SEARCH("Y",C32)))</formula>
    </cfRule>
  </conditionalFormatting>
  <conditionalFormatting sqref="G32">
    <cfRule type="expression" dxfId="14" priority="14" stopIfTrue="1">
      <formula>"""Y"""</formula>
    </cfRule>
    <cfRule type="expression" dxfId="13" priority="15" stopIfTrue="1">
      <formula>"""N"""</formula>
    </cfRule>
  </conditionalFormatting>
  <conditionalFormatting sqref="G32">
    <cfRule type="containsText" dxfId="12" priority="13" operator="containsText" text="Y">
      <formula>NOT(ISERROR(SEARCH("Y",G32)))</formula>
    </cfRule>
  </conditionalFormatting>
  <conditionalFormatting sqref="G32">
    <cfRule type="expression" dxfId="11" priority="11" stopIfTrue="1">
      <formula>"""Y"""</formula>
    </cfRule>
    <cfRule type="expression" dxfId="10" priority="12" stopIfTrue="1">
      <formula>"""N"""</formula>
    </cfRule>
  </conditionalFormatting>
  <conditionalFormatting sqref="G32">
    <cfRule type="containsText" dxfId="9" priority="10" operator="containsText" text="Y">
      <formula>NOT(ISERROR(SEARCH("Y",G32)))</formula>
    </cfRule>
  </conditionalFormatting>
  <conditionalFormatting sqref="C32:H32">
    <cfRule type="cellIs" dxfId="8" priority="9" operator="equal">
      <formula>"""TRUE"""</formula>
    </cfRule>
  </conditionalFormatting>
  <conditionalFormatting sqref="H32">
    <cfRule type="expression" dxfId="7" priority="7" stopIfTrue="1">
      <formula>"""Y"""</formula>
    </cfRule>
    <cfRule type="expression" dxfId="6" priority="8" stopIfTrue="1">
      <formula>"""N"""</formula>
    </cfRule>
  </conditionalFormatting>
  <conditionalFormatting sqref="H32">
    <cfRule type="containsText" dxfId="5" priority="6" operator="containsText" text="Y">
      <formula>NOT(ISERROR(SEARCH("Y",H32)))</formula>
    </cfRule>
  </conditionalFormatting>
  <conditionalFormatting sqref="H32">
    <cfRule type="expression" dxfId="4" priority="4" stopIfTrue="1">
      <formula>"""Y"""</formula>
    </cfRule>
    <cfRule type="expression" dxfId="3" priority="5" stopIfTrue="1">
      <formula>"""N"""</formula>
    </cfRule>
  </conditionalFormatting>
  <conditionalFormatting sqref="H32">
    <cfRule type="containsText" dxfId="2" priority="3" operator="containsText" text="Y">
      <formula>NOT(ISERROR(SEARCH("Y",H32)))</formula>
    </cfRule>
  </conditionalFormatting>
  <conditionalFormatting sqref="H32">
    <cfRule type="cellIs" dxfId="1" priority="2" operator="equal">
      <formula>"""TRUE"""</formula>
    </cfRule>
  </conditionalFormatting>
  <conditionalFormatting sqref="C32:H32">
    <cfRule type="containsText" dxfId="0" priority="1" operator="containsText" text="TRUE">
      <formula>NOT(ISERROR(SEARCH("TRUE",C32)))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2:I24"/>
  <sheetViews>
    <sheetView workbookViewId="0">
      <selection activeCell="K19" sqref="J18:K19"/>
    </sheetView>
  </sheetViews>
  <sheetFormatPr defaultRowHeight="12.75"/>
  <cols>
    <col min="1" max="1" width="4.85546875" style="53" customWidth="1"/>
    <col min="2" max="2" width="8.140625" style="53" customWidth="1"/>
    <col min="3" max="3" width="4.85546875" style="53" customWidth="1"/>
    <col min="4" max="4" width="9.28515625" style="53" customWidth="1"/>
    <col min="5" max="5" width="10.42578125" style="53" customWidth="1"/>
    <col min="6" max="6" width="10" style="53" customWidth="1"/>
    <col min="7" max="7" width="12.28515625" style="53" customWidth="1"/>
    <col min="8" max="8" width="7" style="53" customWidth="1"/>
    <col min="9" max="9" width="10" style="53" customWidth="1"/>
    <col min="10" max="16384" width="9.140625" style="53"/>
  </cols>
  <sheetData>
    <row r="2" spans="1:8">
      <c r="A2" s="54" t="s">
        <v>82</v>
      </c>
      <c r="B2" s="54"/>
      <c r="C2" s="54"/>
      <c r="D2" s="54"/>
      <c r="E2" s="54"/>
      <c r="F2" s="54"/>
      <c r="G2" s="54"/>
      <c r="H2" s="54"/>
    </row>
    <row r="3" spans="1:8">
      <c r="A3" s="54"/>
      <c r="B3" s="54"/>
      <c r="C3" s="54"/>
      <c r="D3" s="54"/>
      <c r="E3" s="54"/>
      <c r="F3" s="54"/>
      <c r="G3" s="54"/>
      <c r="H3" s="54"/>
    </row>
    <row r="4" spans="1:8">
      <c r="A4" s="61" t="s">
        <v>2</v>
      </c>
      <c r="B4" s="62" t="s">
        <v>1</v>
      </c>
      <c r="C4" s="62" t="s">
        <v>33</v>
      </c>
      <c r="D4" s="62" t="s">
        <v>83</v>
      </c>
      <c r="E4" s="62" t="s">
        <v>84</v>
      </c>
      <c r="F4" s="62" t="s">
        <v>86</v>
      </c>
      <c r="G4" s="62" t="s">
        <v>87</v>
      </c>
      <c r="H4" s="69" t="s">
        <v>34</v>
      </c>
    </row>
    <row r="5" spans="1:8">
      <c r="A5" s="56"/>
      <c r="B5" s="57"/>
      <c r="C5" s="57"/>
      <c r="D5" s="57" t="s">
        <v>8</v>
      </c>
      <c r="E5" s="57" t="s">
        <v>8</v>
      </c>
      <c r="F5" s="57" t="s">
        <v>8</v>
      </c>
      <c r="G5" s="57" t="s">
        <v>8</v>
      </c>
      <c r="H5" s="58" t="s">
        <v>8</v>
      </c>
    </row>
    <row r="6" spans="1:8">
      <c r="A6" s="67">
        <v>2011</v>
      </c>
      <c r="B6" s="71">
        <f>Pop_Projection!B10</f>
        <v>285016.54307375319</v>
      </c>
      <c r="C6" s="71">
        <f>IF(B6&lt;1000000,135,150)</f>
        <v>135</v>
      </c>
      <c r="D6" s="71">
        <f>B6*C6/1000000</f>
        <v>38.477233314956678</v>
      </c>
      <c r="E6" s="73">
        <f>D6*'INPUT DATA'!$F$26</f>
        <v>30.781786651965344</v>
      </c>
      <c r="F6" s="73">
        <f>IF('INPUT DATA'!$F$31&gt;10,0,(('INPUT DATA'!$F$30/1000000)*'INPUT DATA'!$F$32))</f>
        <v>0</v>
      </c>
      <c r="G6" s="73">
        <f>'INPUT DATA'!$F$29</f>
        <v>5</v>
      </c>
      <c r="H6" s="74">
        <f>E6+F6+G6</f>
        <v>35.781786651965348</v>
      </c>
    </row>
    <row r="7" spans="1:8">
      <c r="A7" s="67">
        <v>2016</v>
      </c>
      <c r="B7" s="71">
        <f>Pop_Projection!B11</f>
        <v>330557.33424758981</v>
      </c>
      <c r="C7" s="71">
        <f t="shared" ref="C7:C12" si="0">IF(B7&lt;1000000,135,150)</f>
        <v>135</v>
      </c>
      <c r="D7" s="71">
        <f t="shared" ref="D7:D12" si="1">B7*C7/1000000</f>
        <v>44.625240123424625</v>
      </c>
      <c r="E7" s="73">
        <f>D7*'INPUT DATA'!$F$26</f>
        <v>35.700192098739699</v>
      </c>
      <c r="F7" s="73">
        <f>IF('INPUT DATA'!$F$31&gt;10,0,(('INPUT DATA'!$F$30/1000000)*'INPUT DATA'!$F$32))</f>
        <v>0</v>
      </c>
      <c r="G7" s="73">
        <f>'INPUT DATA'!$F$29</f>
        <v>5</v>
      </c>
      <c r="H7" s="74">
        <f t="shared" ref="H7:H12" si="2">E7+F7+G7</f>
        <v>40.700192098739699</v>
      </c>
    </row>
    <row r="8" spans="1:8">
      <c r="A8" s="67">
        <v>2021</v>
      </c>
      <c r="B8" s="71">
        <f>Pop_Projection!B12</f>
        <v>383374.76851860422</v>
      </c>
      <c r="C8" s="71">
        <f t="shared" si="0"/>
        <v>135</v>
      </c>
      <c r="D8" s="71">
        <f t="shared" si="1"/>
        <v>51.75559375001157</v>
      </c>
      <c r="E8" s="73">
        <f>D8*'INPUT DATA'!$F$26</f>
        <v>41.404475000009256</v>
      </c>
      <c r="F8" s="73">
        <f>IF('INPUT DATA'!$F$31&gt;10,0,(('INPUT DATA'!$F$30/1000000)*'INPUT DATA'!$F$32))</f>
        <v>0</v>
      </c>
      <c r="G8" s="73">
        <f>'INPUT DATA'!$F$29</f>
        <v>5</v>
      </c>
      <c r="H8" s="74">
        <f t="shared" si="2"/>
        <v>46.404475000009256</v>
      </c>
    </row>
    <row r="9" spans="1:8">
      <c r="A9" s="67">
        <v>2026</v>
      </c>
      <c r="B9" s="71">
        <f>Pop_Projection!B13</f>
        <v>444631.52956880693</v>
      </c>
      <c r="C9" s="71">
        <f t="shared" si="0"/>
        <v>135</v>
      </c>
      <c r="D9" s="71">
        <f t="shared" si="1"/>
        <v>60.025256491788937</v>
      </c>
      <c r="E9" s="73">
        <f>D9*'INPUT DATA'!$F$26</f>
        <v>48.020205193431153</v>
      </c>
      <c r="F9" s="73">
        <f>IF('INPUT DATA'!$F$31&gt;10,0,(('INPUT DATA'!$F$30/1000000)*'INPUT DATA'!$F$32))</f>
        <v>0</v>
      </c>
      <c r="G9" s="73">
        <f>'INPUT DATA'!$F$29</f>
        <v>5</v>
      </c>
      <c r="H9" s="74">
        <f t="shared" si="2"/>
        <v>53.020205193431153</v>
      </c>
    </row>
    <row r="10" spans="1:8">
      <c r="A10" s="67">
        <v>2031</v>
      </c>
      <c r="B10" s="71">
        <f>Pop_Projection!B14</f>
        <v>515676.07813789468</v>
      </c>
      <c r="C10" s="71">
        <f t="shared" si="0"/>
        <v>135</v>
      </c>
      <c r="D10" s="71">
        <f t="shared" si="1"/>
        <v>69.616270548615788</v>
      </c>
      <c r="E10" s="73">
        <f>D10*'INPUT DATA'!$F$26</f>
        <v>55.693016438892634</v>
      </c>
      <c r="F10" s="73">
        <f>IF('INPUT DATA'!$F$31&gt;10,0,(('INPUT DATA'!$F$30/1000000)*'INPUT DATA'!$F$32))</f>
        <v>0</v>
      </c>
      <c r="G10" s="73">
        <f>'INPUT DATA'!$F$29</f>
        <v>5</v>
      </c>
      <c r="H10" s="74">
        <f t="shared" si="2"/>
        <v>60.693016438892634</v>
      </c>
    </row>
    <row r="11" spans="1:8">
      <c r="A11" s="67">
        <v>2036</v>
      </c>
      <c r="B11" s="71">
        <f>Pop_Projection!B15</f>
        <v>598072.33603420889</v>
      </c>
      <c r="C11" s="71">
        <f t="shared" si="0"/>
        <v>135</v>
      </c>
      <c r="D11" s="71">
        <f t="shared" si="1"/>
        <v>80.739765364618194</v>
      </c>
      <c r="E11" s="73">
        <f>D11*'INPUT DATA'!$F$26</f>
        <v>64.591812291694552</v>
      </c>
      <c r="F11" s="73">
        <f>IF('INPUT DATA'!$F$31&gt;10,0,(('INPUT DATA'!$F$30/1000000)*'INPUT DATA'!$F$32))</f>
        <v>0</v>
      </c>
      <c r="G11" s="73">
        <f>'INPUT DATA'!$F$29</f>
        <v>5</v>
      </c>
      <c r="H11" s="74">
        <f t="shared" si="2"/>
        <v>69.591812291694552</v>
      </c>
    </row>
    <row r="12" spans="1:8">
      <c r="A12" s="68">
        <v>2041</v>
      </c>
      <c r="B12" s="72">
        <f>Pop_Projection!B16</f>
        <v>693634.11314528261</v>
      </c>
      <c r="C12" s="72">
        <f t="shared" si="0"/>
        <v>135</v>
      </c>
      <c r="D12" s="72">
        <f t="shared" si="1"/>
        <v>93.640605274613151</v>
      </c>
      <c r="E12" s="75">
        <f>D12*'INPUT DATA'!$F$26</f>
        <v>74.912484219690526</v>
      </c>
      <c r="F12" s="75">
        <f>IF('INPUT DATA'!$F$31&gt;10,0,(('INPUT DATA'!$F$30/1000000)*'INPUT DATA'!$F$32))</f>
        <v>0</v>
      </c>
      <c r="G12" s="75">
        <f>'INPUT DATA'!$F$29</f>
        <v>5</v>
      </c>
      <c r="H12" s="76">
        <f t="shared" si="2"/>
        <v>79.912484219690526</v>
      </c>
    </row>
    <row r="14" spans="1:8">
      <c r="A14" s="54" t="s">
        <v>88</v>
      </c>
    </row>
    <row r="15" spans="1:8" ht="14.25" customHeight="1">
      <c r="A15" s="54"/>
    </row>
    <row r="16" spans="1:8">
      <c r="A16" s="70" t="s">
        <v>48</v>
      </c>
      <c r="B16" s="62"/>
      <c r="C16" s="62"/>
      <c r="D16" s="62"/>
      <c r="E16" s="62"/>
      <c r="F16" s="62"/>
      <c r="G16" s="62"/>
      <c r="H16" s="62"/>
    </row>
    <row r="17" spans="1:9">
      <c r="A17" s="63" t="s">
        <v>89</v>
      </c>
      <c r="B17" s="64"/>
      <c r="C17" s="64"/>
      <c r="D17" s="64"/>
      <c r="E17" s="64"/>
      <c r="F17" s="64"/>
      <c r="G17" s="59" t="s">
        <v>8</v>
      </c>
      <c r="H17" s="65">
        <f>H12</f>
        <v>79.912484219690526</v>
      </c>
    </row>
    <row r="18" spans="1:9">
      <c r="A18" s="63" t="s">
        <v>91</v>
      </c>
      <c r="B18" s="64"/>
      <c r="C18" s="64"/>
      <c r="D18" s="64"/>
      <c r="E18" s="64"/>
      <c r="F18" s="64"/>
      <c r="G18" s="59" t="s">
        <v>8</v>
      </c>
      <c r="H18" s="65">
        <f>'INPUT DATA'!F23</f>
        <v>0</v>
      </c>
    </row>
    <row r="19" spans="1:9">
      <c r="A19" s="63" t="s">
        <v>92</v>
      </c>
      <c r="B19" s="64"/>
      <c r="C19" s="64"/>
      <c r="D19" s="64"/>
      <c r="E19" s="64"/>
      <c r="F19" s="64"/>
      <c r="G19" s="59" t="s">
        <v>8</v>
      </c>
      <c r="H19" s="65">
        <f>H17-H18</f>
        <v>79.912484219690526</v>
      </c>
    </row>
    <row r="20" spans="1:9">
      <c r="A20" s="63" t="s">
        <v>90</v>
      </c>
      <c r="B20" s="64"/>
      <c r="C20" s="64"/>
      <c r="D20" s="64"/>
      <c r="E20" s="64"/>
      <c r="F20" s="64"/>
      <c r="G20" s="59" t="s">
        <v>53</v>
      </c>
      <c r="H20" s="65">
        <f>H19*'INPUT DATA'!F27</f>
        <v>15.982496843938106</v>
      </c>
      <c r="I20" s="91"/>
    </row>
    <row r="21" spans="1:9">
      <c r="A21" s="111" t="s">
        <v>101</v>
      </c>
      <c r="B21" s="112"/>
      <c r="C21" s="112"/>
      <c r="D21" s="112"/>
      <c r="E21" s="112"/>
      <c r="F21" s="112"/>
      <c r="G21" s="113" t="s">
        <v>98</v>
      </c>
      <c r="H21" s="114">
        <f>'INPUT DATA'!F28</f>
        <v>2</v>
      </c>
    </row>
    <row r="22" spans="1:9">
      <c r="A22" s="115" t="s">
        <v>99</v>
      </c>
      <c r="B22" s="115"/>
      <c r="C22" s="115"/>
      <c r="D22" s="115"/>
      <c r="E22" s="115"/>
      <c r="F22" s="115"/>
      <c r="G22" s="116" t="s">
        <v>8</v>
      </c>
      <c r="H22" s="119">
        <f>H19/H21</f>
        <v>39.956242109845263</v>
      </c>
    </row>
    <row r="23" spans="1:9">
      <c r="A23" s="116" t="s">
        <v>114</v>
      </c>
      <c r="B23" s="116"/>
      <c r="C23" s="116"/>
      <c r="D23" s="116"/>
      <c r="E23" s="116"/>
      <c r="F23" s="116"/>
      <c r="G23" s="116" t="s">
        <v>8</v>
      </c>
      <c r="H23" s="152">
        <f>H19-H22</f>
        <v>39.956242109845263</v>
      </c>
    </row>
    <row r="24" spans="1:9">
      <c r="A24" s="118" t="s">
        <v>125</v>
      </c>
      <c r="B24" s="118"/>
      <c r="C24" s="118"/>
      <c r="D24" s="118"/>
      <c r="E24" s="118"/>
      <c r="F24" s="118"/>
      <c r="G24" s="118"/>
      <c r="H24" s="121">
        <f>H22+H23</f>
        <v>79.912484219690526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9"/>
  <dimension ref="B2:G12"/>
  <sheetViews>
    <sheetView workbookViewId="0">
      <selection activeCell="I10" sqref="I10"/>
    </sheetView>
  </sheetViews>
  <sheetFormatPr defaultRowHeight="12.75"/>
  <cols>
    <col min="1" max="1" width="9.140625" style="53"/>
    <col min="2" max="2" width="4.5703125" style="53" customWidth="1"/>
    <col min="3" max="3" width="38" style="53" customWidth="1"/>
    <col min="4" max="5" width="12" style="53" bestFit="1" customWidth="1"/>
    <col min="6" max="6" width="9.140625" style="53"/>
    <col min="7" max="7" width="15.7109375" style="53" customWidth="1"/>
    <col min="8" max="9" width="9.140625" style="53"/>
    <col min="10" max="10" width="16" style="53" customWidth="1"/>
    <col min="11" max="11" width="10" style="53" bestFit="1" customWidth="1"/>
    <col min="12" max="16384" width="9.140625" style="53"/>
  </cols>
  <sheetData>
    <row r="2" spans="2:7">
      <c r="B2" s="54" t="s">
        <v>50</v>
      </c>
      <c r="C2" s="54"/>
      <c r="D2" s="54"/>
      <c r="E2" s="54"/>
      <c r="F2" s="54"/>
      <c r="G2" s="54"/>
    </row>
    <row r="3" spans="2:7">
      <c r="B3" s="61" t="s">
        <v>36</v>
      </c>
      <c r="C3" s="62" t="s">
        <v>37</v>
      </c>
      <c r="D3" s="62" t="s">
        <v>6</v>
      </c>
      <c r="E3" s="62" t="s">
        <v>38</v>
      </c>
      <c r="F3" s="62" t="s">
        <v>49</v>
      </c>
      <c r="G3" s="69" t="s">
        <v>39</v>
      </c>
    </row>
    <row r="4" spans="2:7" s="55" customFormat="1">
      <c r="B4" s="56"/>
      <c r="C4" s="57"/>
      <c r="D4" s="57"/>
      <c r="E4" s="57"/>
      <c r="F4" s="57"/>
      <c r="G4" s="58" t="s">
        <v>32</v>
      </c>
    </row>
    <row r="5" spans="2:7">
      <c r="B5" s="67">
        <v>1</v>
      </c>
      <c r="C5" s="59" t="s">
        <v>107</v>
      </c>
      <c r="D5" s="71">
        <f>(('INPUT DATA'!F33*'INPUT DATA'!L28)/1000)-'INPUT DATA'!F21</f>
        <v>566.25</v>
      </c>
      <c r="E5" s="71">
        <f>'INPUT DATA'!L24</f>
        <v>5500000</v>
      </c>
      <c r="F5" s="59" t="s">
        <v>9</v>
      </c>
      <c r="G5" s="66">
        <f>D5*E5</f>
        <v>3114375000</v>
      </c>
    </row>
    <row r="6" spans="2:7">
      <c r="B6" s="67">
        <v>2</v>
      </c>
      <c r="C6" s="59" t="s">
        <v>108</v>
      </c>
      <c r="D6" s="71">
        <f>D7</f>
        <v>79.912484219690526</v>
      </c>
      <c r="E6" s="71">
        <f>'INPUT DATA'!L29</f>
        <v>2000000</v>
      </c>
      <c r="F6" s="59" t="s">
        <v>8</v>
      </c>
      <c r="G6" s="66">
        <f t="shared" ref="G6:G7" si="0">D6*E6</f>
        <v>159824968.43938106</v>
      </c>
    </row>
    <row r="7" spans="2:7">
      <c r="B7" s="67">
        <v>3</v>
      </c>
      <c r="C7" s="59" t="s">
        <v>109</v>
      </c>
      <c r="D7" s="71">
        <f>'Waste Generation_STP'!H24</f>
        <v>79.912484219690526</v>
      </c>
      <c r="E7" s="71">
        <f>'INPUT DATA'!L26</f>
        <v>7000000</v>
      </c>
      <c r="F7" s="59" t="s">
        <v>8</v>
      </c>
      <c r="G7" s="66">
        <f t="shared" si="0"/>
        <v>559387389.53783369</v>
      </c>
    </row>
    <row r="8" spans="2:7">
      <c r="B8" s="67">
        <v>4</v>
      </c>
      <c r="C8" s="59" t="s">
        <v>110</v>
      </c>
      <c r="D8" s="71">
        <f>'Waste Generation_STP'!H20</f>
        <v>15.982496843938106</v>
      </c>
      <c r="E8" s="71">
        <f>'INPUT DATA'!L27</f>
        <v>10000000</v>
      </c>
      <c r="F8" s="59" t="s">
        <v>111</v>
      </c>
      <c r="G8" s="66">
        <f t="shared" ref="G8" si="1">D8*E8</f>
        <v>159824968.43938106</v>
      </c>
    </row>
    <row r="9" spans="2:7">
      <c r="B9" s="67">
        <v>5</v>
      </c>
      <c r="C9" s="59" t="s">
        <v>41</v>
      </c>
      <c r="D9" s="59"/>
      <c r="E9" s="59"/>
      <c r="F9" s="59"/>
      <c r="G9" s="77">
        <f>SUM(G5:G8)</f>
        <v>3993412326.4165959</v>
      </c>
    </row>
    <row r="10" spans="2:7">
      <c r="B10" s="67">
        <v>6</v>
      </c>
      <c r="C10" s="59" t="s">
        <v>40</v>
      </c>
      <c r="D10" s="78">
        <v>0.1</v>
      </c>
      <c r="E10" s="59"/>
      <c r="F10" s="59"/>
      <c r="G10" s="66">
        <f>G9*D10</f>
        <v>399341232.64165962</v>
      </c>
    </row>
    <row r="11" spans="2:7">
      <c r="B11" s="67">
        <v>7</v>
      </c>
      <c r="C11" s="59" t="s">
        <v>47</v>
      </c>
      <c r="D11" s="78">
        <v>0.05</v>
      </c>
      <c r="E11" s="59"/>
      <c r="F11" s="59"/>
      <c r="G11" s="66">
        <f>G9*D11</f>
        <v>199670616.32082981</v>
      </c>
    </row>
    <row r="12" spans="2:7">
      <c r="B12" s="68">
        <v>8</v>
      </c>
      <c r="C12" s="60" t="s">
        <v>42</v>
      </c>
      <c r="D12" s="60"/>
      <c r="E12" s="60"/>
      <c r="F12" s="60"/>
      <c r="G12" s="79">
        <f>G9+G10+G11</f>
        <v>4592424175.3790846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DATA</vt:lpstr>
      <vt:lpstr>OUTPUT</vt:lpstr>
      <vt:lpstr>Pop_Projection</vt:lpstr>
      <vt:lpstr>Waste Generation_STP</vt:lpstr>
      <vt:lpstr>Estimate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nss</dc:creator>
  <cp:lastModifiedBy>IBM</cp:lastModifiedBy>
  <dcterms:created xsi:type="dcterms:W3CDTF">2010-02-10T05:19:16Z</dcterms:created>
  <dcterms:modified xsi:type="dcterms:W3CDTF">2010-08-31T12:23:43Z</dcterms:modified>
</cp:coreProperties>
</file>